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R:\Clients\F\Fédération suisse pour le développement d'une viticulture durable - Vitiswiss (019181)\Proconseil\Vins Suisses Durables VSD\_Cahier des charges\Documents support\"/>
    </mc:Choice>
  </mc:AlternateContent>
  <xr:revisionPtr revIDLastSave="0" documentId="8_{246285DE-172B-4CE5-A0F8-F042F72D1812}" xr6:coauthVersionLast="47" xr6:coauthVersionMax="47" xr10:uidLastSave="{00000000-0000-0000-0000-000000000000}"/>
  <workbookProtection workbookAlgorithmName="SHA-512" workbookHashValue="C5/IgH4yYeHPMDY2jJCjaUx/hu1N5zw4/aLMXpJfLopgwf10xw/Z9Q5tjkWWItqHVJQtulNf84iZX0D3GXP0Tg==" workbookSaltValue="EprASASD2vZnwuIcap9Oxw==" workbookSpinCount="100000" lockStructure="1"/>
  <bookViews>
    <workbookView xWindow="-24495" yWindow="-21720" windowWidth="38640" windowHeight="21120" xr2:uid="{9309F690-1EDC-47C5-B251-3D6AE4BA6ED0}"/>
  </bookViews>
  <sheets>
    <sheet name="Saisie producteur" sheetId="4" r:id="rId1"/>
    <sheet name="Facteurs d'émissions" sheetId="2" state="hidden" r:id="rId2"/>
    <sheet name="Feuille de calculs" sheetId="5" state="hidden" r:id="rId3"/>
    <sheet name="Graphiques" sheetId="6"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1" i="6" l="1"/>
  <c r="E20" i="6"/>
  <c r="E19" i="6"/>
  <c r="E18" i="6"/>
  <c r="E17" i="6"/>
  <c r="E16" i="6"/>
  <c r="E15" i="6"/>
  <c r="E8" i="6"/>
  <c r="E7" i="6"/>
  <c r="E6" i="6"/>
  <c r="E4" i="6"/>
  <c r="E5" i="6"/>
  <c r="E3" i="6"/>
  <c r="E2" i="6"/>
  <c r="C22" i="6"/>
  <c r="C9" i="6"/>
  <c r="C21" i="6"/>
  <c r="G2" i="5"/>
  <c r="B7" i="5" s="1"/>
  <c r="J2" i="5"/>
  <c r="B9" i="5" s="1"/>
  <c r="C17" i="2"/>
  <c r="N2" i="5"/>
  <c r="B11" i="5" s="1"/>
  <c r="D2" i="5"/>
  <c r="B8" i="5" s="1"/>
  <c r="C2" i="5"/>
  <c r="K2" i="5" l="1"/>
  <c r="B10" i="5" s="1"/>
  <c r="E2" i="5"/>
  <c r="F2" i="5"/>
  <c r="B6" i="5" l="1"/>
  <c r="L2" i="5"/>
  <c r="H2" i="5"/>
  <c r="A2" i="5"/>
  <c r="B2" i="5"/>
  <c r="D28" i="4" l="1"/>
  <c r="D27" i="4"/>
  <c r="D29" i="4" s="1"/>
  <c r="C9" i="5" a="1"/>
  <c r="C6" i="5" a="1"/>
  <c r="C10" i="5" a="1"/>
  <c r="C7" i="5" a="1"/>
  <c r="C8" i="5" a="1"/>
  <c r="C11" i="5" a="1"/>
  <c r="D18" i="4"/>
  <c r="D34" i="4" s="1"/>
  <c r="I2" i="5"/>
  <c r="D17" i="4" s="1"/>
  <c r="M2" i="5"/>
  <c r="D33" i="4" l="1"/>
  <c r="D35" i="4" s="1"/>
  <c r="D19" i="4"/>
  <c r="D9" i="5"/>
  <c r="E9" i="5"/>
  <c r="E6" i="5"/>
  <c r="D6" i="5"/>
  <c r="D10" i="5"/>
  <c r="E10" i="5"/>
  <c r="D7" i="5"/>
  <c r="E7" i="5"/>
  <c r="D8" i="5"/>
  <c r="E8" i="5"/>
  <c r="D11" i="5"/>
  <c r="E11" i="5"/>
  <c r="C11" i="5"/>
  <c r="C10" i="5"/>
  <c r="C9" i="5"/>
  <c r="C8" i="5"/>
  <c r="C7" i="5"/>
  <c r="C6"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<sst xmlns="http://schemas.openxmlformats.org/spreadsheetml/2006/main" count="209" uniqueCount="113">
  <si>
    <t>Essence</t>
  </si>
  <si>
    <t>Diesel</t>
  </si>
  <si>
    <t>BRF</t>
  </si>
  <si>
    <t>Compost</t>
  </si>
  <si>
    <t>Fumier</t>
  </si>
  <si>
    <t>Facteurs d'émissions directes</t>
  </si>
  <si>
    <t>Poste</t>
  </si>
  <si>
    <t>Unité FE</t>
  </si>
  <si>
    <t>L/an</t>
  </si>
  <si>
    <t>kgCO₂e/L</t>
  </si>
  <si>
    <t>t/an</t>
  </si>
  <si>
    <t>kgCO₂e/t</t>
  </si>
  <si>
    <t>Unité intrant</t>
  </si>
  <si>
    <t>Engrais minéral</t>
  </si>
  <si>
    <t>Engrais organique</t>
  </si>
  <si>
    <t>Producteur</t>
  </si>
  <si>
    <t>Surface exploit.</t>
  </si>
  <si>
    <t>Emission de l'exploit./ha</t>
  </si>
  <si>
    <t>Unité</t>
  </si>
  <si>
    <t>Surface exploitée</t>
  </si>
  <si>
    <t>ha</t>
  </si>
  <si>
    <t>kg/ha</t>
  </si>
  <si>
    <t>nb</t>
  </si>
  <si>
    <t xml:space="preserve">Rendements </t>
  </si>
  <si>
    <t>Sustances actives</t>
  </si>
  <si>
    <t>kgCO₂e/ha</t>
  </si>
  <si>
    <t>Total estimé "net" pour l'exploitation</t>
  </si>
  <si>
    <t>U N/ha</t>
  </si>
  <si>
    <t>U/ha</t>
  </si>
  <si>
    <t>PPh par application</t>
  </si>
  <si>
    <t>kgCO₂e/app</t>
  </si>
  <si>
    <t>Enherbement</t>
  </si>
  <si>
    <t xml:space="preserve">Enherbement </t>
  </si>
  <si>
    <t>Azote</t>
  </si>
  <si>
    <t>Tot émisions annuelles par ha</t>
  </si>
  <si>
    <t>Tot pour l'exploitation</t>
  </si>
  <si>
    <t>Amendement</t>
  </si>
  <si>
    <t>%</t>
  </si>
  <si>
    <t>t/ha</t>
  </si>
  <si>
    <t>Stockage principal</t>
  </si>
  <si>
    <t>Broyage des sarments</t>
  </si>
  <si>
    <t>oui/non</t>
  </si>
  <si>
    <t>oui</t>
  </si>
  <si>
    <t>bio</t>
  </si>
  <si>
    <t>non bio</t>
  </si>
  <si>
    <t>*</t>
  </si>
  <si>
    <t>Bilan carbone de l'exploitation</t>
  </si>
  <si>
    <t>Quantité d'amendement</t>
  </si>
  <si>
    <t>kgCO₂e/kg</t>
  </si>
  <si>
    <t>kgCO₂e/exploit.</t>
  </si>
  <si>
    <t>FE</t>
  </si>
  <si>
    <t>Stockage sarments</t>
  </si>
  <si>
    <t>Broyage + retour parties vertes</t>
  </si>
  <si>
    <t>bio après fleur</t>
  </si>
  <si>
    <t xml:space="preserve">Herbicide </t>
  </si>
  <si>
    <t>kg/an</t>
  </si>
  <si>
    <t>Part (%)</t>
  </si>
  <si>
    <t>Somme des FE</t>
  </si>
  <si>
    <t>PPh par application (bio)</t>
  </si>
  <si>
    <t>PPh par application (bio après fleur)</t>
  </si>
  <si>
    <t>PPh par application (non bio)</t>
  </si>
  <si>
    <t>Enherbement (30%)</t>
  </si>
  <si>
    <t>Enherbement (70%)</t>
  </si>
  <si>
    <t>Enherbement (100%)</t>
  </si>
  <si>
    <t>PPh bio</t>
  </si>
  <si>
    <t>PPh bio après fleur</t>
  </si>
  <si>
    <t>PPh non bio</t>
  </si>
  <si>
    <t>Herbicide</t>
  </si>
  <si>
    <t>Enherbement 30%</t>
  </si>
  <si>
    <t>Enherbement 70%</t>
  </si>
  <si>
    <t>Enherbement 100%</t>
  </si>
  <si>
    <t xml:space="preserve">Carburant </t>
  </si>
  <si>
    <t xml:space="preserve">Traitements </t>
  </si>
  <si>
    <t>Apports en azote</t>
  </si>
  <si>
    <t>Stockage lié aux parties vertes</t>
  </si>
  <si>
    <t>Négatif</t>
  </si>
  <si>
    <t>Emission</t>
  </si>
  <si>
    <t>**</t>
  </si>
  <si>
    <t>EMISSIONS</t>
  </si>
  <si>
    <t>STOCKAGE</t>
  </si>
  <si>
    <t>BILAN</t>
  </si>
  <si>
    <t>oui/non/bio après fleur</t>
  </si>
  <si>
    <t>Nombre d'applications d'herbicides/an</t>
  </si>
  <si>
    <t>Utilisation d'herbicide</t>
  </si>
  <si>
    <t>nb / an</t>
  </si>
  <si>
    <t>Nombre moyen de traitements</t>
  </si>
  <si>
    <t>Quantité d'azote minéral</t>
  </si>
  <si>
    <t>Quantité d'azote organique</t>
  </si>
  <si>
    <t>Consommation carburant : essence</t>
  </si>
  <si>
    <t>Consommation carburant : diesel</t>
  </si>
  <si>
    <t>Données de base de l'exploitation</t>
  </si>
  <si>
    <t>Rendement moyen</t>
  </si>
  <si>
    <t>Nom de l'exploitation</t>
  </si>
  <si>
    <t>* Il s'agit d'une estimation basée sur des références moyennes et le résultat ne doit pas être considéré comme un résultat réel. Pour plus de précisions, utiliser l'outil Ges&amp;Vit de l'IFV qui est le plus adapté à la prodution viticole.</t>
  </si>
  <si>
    <t>** L'estimation du stockage de carbone sans analyse préalable des caractéristiques du sol (taux d'argile, porosité, taux de matière organique, etc.) fournit un résultat très approximatif. Il n'est pas possible de généraliser le stockage du carbone sans tenir compte de ces paramètres. Le calcul ci-dessus se base sur un sol "modèle" et surestime probablement la quantité de carbone stockée. Pour plus de précisions, utiliser l'outil Ges&amp;Vit de l'IFV qui est le plus adapté à la prodution viticole.</t>
  </si>
  <si>
    <t>Sources d'émissions</t>
  </si>
  <si>
    <t>Sources de stockage</t>
  </si>
  <si>
    <t>Total estimé "net" par kg de raisin produit</t>
  </si>
  <si>
    <t>Total estimé "net" par ha</t>
  </si>
  <si>
    <t>Total estimé du stockage annuel par kg</t>
  </si>
  <si>
    <t>Total estimé du stockage annuel par ha</t>
  </si>
  <si>
    <t>Total estimé du stockage annuel pour l'exploitation</t>
  </si>
  <si>
    <t>BRF/compost/fumier</t>
  </si>
  <si>
    <t>Total estimé des émissions annuelles pour l'exploitation</t>
  </si>
  <si>
    <t>Total estimé des émissions annuelles par ha</t>
  </si>
  <si>
    <t>Total estimé des émissions annuelles par kg</t>
  </si>
  <si>
    <t>Données</t>
  </si>
  <si>
    <t>Taux moyen d'enherbement</t>
  </si>
  <si>
    <t>Traitements effectués uniquement avec des produits biologiques?</t>
  </si>
  <si>
    <t>© Un outil mis au point par VITIplus, pour le projet VIN SUISSE DURABLE de VITISWISS (06/2026). Usage réservé aux adhérents de la démarche.</t>
  </si>
  <si>
    <r>
      <t>Nombre moyen de produits commerciaux utilisés par application</t>
    </r>
    <r>
      <rPr>
        <i/>
        <sz val="11"/>
        <color theme="1"/>
        <rFont val="Calibri"/>
        <family val="2"/>
      </rPr>
      <t xml:space="preserve"> (y compris stimulateurs de défenses naturelles, mouillants)</t>
    </r>
  </si>
  <si>
    <r>
      <t xml:space="preserve">Période considérée pour la moyenne des données entrées
</t>
    </r>
    <r>
      <rPr>
        <sz val="11"/>
        <color theme="0" tint="-0.34998626667073579"/>
        <rFont val="Calibri"/>
        <family val="2"/>
      </rPr>
      <t>(20xx à 20xx)</t>
    </r>
  </si>
  <si>
    <t>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</si>
</sst>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x14ac:knownFonts="1">
    <font>
      <sz val="11"/>
      <color theme="1"/>
      <name val="Calibri"/>
      <family val="2"/>
    </font>
    <font>
      <b/>
      <sz val="11"/>
      <color theme="1"/>
      <name val="Calibri"/>
      <family val="2"/>
    </font>
    <font>
      <sz val="11"/>
      <color theme="1"/>
      <name val="Calibri"/>
      <family val="2"/>
      <scheme val="minor"/>
    </font>
    <font>
      <sz val="11"/>
      <color rgb="FFF47B78"/>
      <name val="Calibri"/>
      <family val="2"/>
    </font>
    <font>
      <sz val="11"/>
      <color theme="1"/>
      <name val="Calibri"/>
      <family val="2"/>
    </font>
    <font>
      <i/>
      <sz val="10"/>
      <color theme="1"/>
      <name val="Calibri"/>
      <family val="2"/>
    </font>
    <font>
      <i/>
      <sz val="10"/>
      <color theme="0" tint="-0.34998626667073579"/>
      <name val="Calibri"/>
      <family val="2"/>
    </font>
    <font>
      <i/>
      <sz val="9"/>
      <color theme="0" tint="-0.34998626667073579"/>
      <name val="Calibri"/>
      <family val="2"/>
    </font>
    <font>
      <b/>
      <sz val="12"/>
      <color theme="1"/>
      <name val="Calibri"/>
      <family val="2"/>
    </font>
    <font>
      <sz val="14"/>
      <name val="Calibri"/>
      <family val="2"/>
    </font>
    <font>
      <b/>
      <sz val="11"/>
      <color theme="3"/>
      <name val="Calibri"/>
      <family val="2"/>
    </font>
    <font>
      <sz val="12"/>
      <color theme="1"/>
      <name val="Calibri Light"/>
      <family val="2"/>
      <scheme val="major"/>
    </font>
    <font>
      <b/>
      <sz val="16"/>
      <color theme="1"/>
      <name val="Calibri"/>
      <family val="2"/>
    </font>
    <font>
      <b/>
      <sz val="12"/>
      <color theme="0"/>
      <name val="Calibri"/>
      <family val="2"/>
    </font>
    <font>
      <b/>
      <sz val="14"/>
      <color theme="0"/>
      <name val="Calibri"/>
      <family val="2"/>
    </font>
    <font>
      <i/>
      <sz val="9"/>
      <color theme="1"/>
      <name val="Calibri"/>
      <family val="2"/>
    </font>
    <font>
      <i/>
      <sz val="11"/>
      <color theme="1"/>
      <name val="Calibri"/>
      <family val="2"/>
    </font>
    <font>
      <sz val="11"/>
      <color theme="3"/>
      <name val="Calibri"/>
      <family val="2"/>
    </font>
    <font>
      <sz val="11"/>
      <color theme="0" tint="-0.34998626667073579"/>
      <name val="Calibri"/>
      <family val="2"/>
    </font>
    <font>
      <sz val="10"/>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9393"/>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3"/>
        <bgColor indexed="64"/>
      </patternFill>
    </fill>
    <fill>
      <patternFill patternType="solid">
        <fgColor theme="3" tint="0.59999389629810485"/>
        <bgColor indexed="64"/>
      </patternFill>
    </fill>
  </fills>
  <borders count="1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s>
  <cellStyleXfs count="5">
    <xf numFmtId="0" fontId="0" fillId="0" borderId="0"/>
    <xf numFmtId="0" fontId="2" fillId="0" borderId="0"/>
    <xf numFmtId="9" fontId="2"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cellStyleXfs>
  <cellXfs count="81">
    <xf numFmtId="0" fontId="0" fillId="0" borderId="0" xfId="0"/>
    <xf numFmtId="9" fontId="0" fillId="0" borderId="0" xfId="0" applyNumberFormat="1"/>
    <xf numFmtId="0" fontId="1" fillId="2" borderId="3" xfId="0" applyFont="1" applyFill="1" applyBorder="1" applyAlignment="1">
      <alignment vertical="center" wrapText="1"/>
    </xf>
    <xf numFmtId="43" fontId="1" fillId="2" borderId="3" xfId="3" applyFont="1" applyFill="1" applyBorder="1" applyAlignment="1">
      <alignment vertical="center"/>
    </xf>
    <xf numFmtId="0" fontId="0" fillId="0" borderId="0" xfId="0" applyAlignment="1">
      <alignment vertical="top"/>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43" fontId="0" fillId="2" borderId="3" xfId="3" applyFont="1" applyFill="1" applyBorder="1" applyAlignment="1">
      <alignment vertical="center"/>
    </xf>
    <xf numFmtId="0" fontId="1" fillId="0" borderId="3" xfId="0" applyFont="1" applyBorder="1" applyAlignment="1">
      <alignment vertical="center" wrapText="1"/>
    </xf>
    <xf numFmtId="0" fontId="1" fillId="0" borderId="3" xfId="0" applyFont="1" applyBorder="1"/>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8" fillId="0" borderId="3" xfId="0" applyFont="1" applyBorder="1" applyAlignment="1">
      <alignment horizontal="left" vertical="center" wrapText="1"/>
    </xf>
    <xf numFmtId="0" fontId="0" fillId="0" borderId="3" xfId="0" applyBorder="1" applyAlignment="1">
      <alignment horizontal="left" vertical="center" wrapText="1"/>
    </xf>
    <xf numFmtId="9" fontId="0" fillId="0" borderId="3" xfId="0" applyNumberFormat="1" applyBorder="1" applyAlignment="1">
      <alignment horizontal="left" vertical="center" wrapText="1"/>
    </xf>
    <xf numFmtId="9" fontId="0" fillId="0" borderId="3" xfId="0" applyNumberFormat="1" applyBorder="1" applyAlignment="1">
      <alignment horizontal="left"/>
    </xf>
    <xf numFmtId="0" fontId="0" fillId="0" borderId="3" xfId="0" applyBorder="1" applyAlignment="1">
      <alignment horizontal="left"/>
    </xf>
    <xf numFmtId="0" fontId="0" fillId="0" borderId="0" xfId="0" applyAlignment="1">
      <alignment horizontal="left"/>
    </xf>
    <xf numFmtId="0" fontId="0" fillId="2" borderId="3" xfId="0" applyFill="1" applyBorder="1" applyAlignment="1">
      <alignment vertical="center" wrapText="1"/>
    </xf>
    <xf numFmtId="43" fontId="0" fillId="2" borderId="2" xfId="3" applyFont="1" applyFill="1" applyBorder="1" applyAlignment="1">
      <alignment horizontal="center"/>
    </xf>
    <xf numFmtId="43" fontId="0" fillId="2" borderId="1" xfId="3" applyFont="1" applyFill="1" applyBorder="1" applyAlignment="1">
      <alignment horizontal="center"/>
    </xf>
    <xf numFmtId="0" fontId="9" fillId="0" borderId="4" xfId="0" applyFont="1" applyBorder="1" applyAlignment="1">
      <alignment horizontal="center"/>
    </xf>
    <xf numFmtId="0" fontId="8" fillId="0" borderId="8" xfId="0" applyFont="1" applyBorder="1" applyAlignment="1">
      <alignment vertical="center" wrapText="1"/>
    </xf>
    <xf numFmtId="0" fontId="8" fillId="0" borderId="8" xfId="0" applyFont="1" applyBorder="1" applyAlignment="1">
      <alignment horizontal="left" vertical="center" wrapText="1"/>
    </xf>
    <xf numFmtId="0" fontId="8" fillId="0" borderId="8" xfId="0" applyFont="1" applyBorder="1" applyAlignment="1">
      <alignment horizontal="center" vertical="center" wrapText="1"/>
    </xf>
    <xf numFmtId="0" fontId="1" fillId="0" borderId="8" xfId="0" applyFont="1" applyBorder="1" applyAlignment="1">
      <alignment vertical="center" wrapText="1"/>
    </xf>
    <xf numFmtId="0" fontId="0" fillId="0" borderId="8" xfId="0" applyBorder="1" applyAlignment="1">
      <alignment horizontal="left" vertical="center" wrapText="1"/>
    </xf>
    <xf numFmtId="0" fontId="0" fillId="0" borderId="8" xfId="0" applyBorder="1" applyAlignment="1">
      <alignment horizontal="center" vertical="center" wrapText="1"/>
    </xf>
    <xf numFmtId="0" fontId="1" fillId="0" borderId="8" xfId="0" applyFont="1" applyBorder="1"/>
    <xf numFmtId="0" fontId="0" fillId="0" borderId="8" xfId="0" applyBorder="1"/>
    <xf numFmtId="9" fontId="1" fillId="0" borderId="8" xfId="4" applyFont="1" applyBorder="1"/>
    <xf numFmtId="0" fontId="1" fillId="0" borderId="8" xfId="0" applyFont="1" applyBorder="1" applyAlignment="1">
      <alignment horizontal="center" vertical="center" wrapText="1"/>
    </xf>
    <xf numFmtId="0" fontId="1" fillId="0" borderId="8" xfId="0" applyFont="1" applyBorder="1" applyAlignment="1">
      <alignment horizontal="right" vertical="center" wrapText="1"/>
    </xf>
    <xf numFmtId="0" fontId="0" fillId="0" borderId="8" xfId="0" applyBorder="1" applyAlignment="1">
      <alignment vertical="center" wrapText="1"/>
    </xf>
    <xf numFmtId="9" fontId="0" fillId="0" borderId="8" xfId="0" applyNumberFormat="1" applyBorder="1" applyAlignment="1">
      <alignment horizontal="right"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wrapText="1"/>
    </xf>
    <xf numFmtId="0" fontId="9" fillId="3" borderId="4" xfId="0" applyFont="1" applyFill="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1" xfId="0" applyBorder="1"/>
    <xf numFmtId="9" fontId="0" fillId="0" borderId="0" xfId="4" applyFont="1"/>
    <xf numFmtId="9" fontId="0" fillId="0" borderId="11" xfId="4" applyFont="1" applyBorder="1"/>
    <xf numFmtId="0" fontId="5" fillId="0" borderId="12" xfId="0" applyFont="1" applyBorder="1" applyAlignment="1">
      <alignment horizontal="left" vertical="center" wrapText="1"/>
    </xf>
    <xf numFmtId="0" fontId="13" fillId="5" borderId="3" xfId="0" applyFont="1" applyFill="1" applyBorder="1" applyAlignment="1">
      <alignment horizontal="center" vertical="center" wrapText="1"/>
    </xf>
    <xf numFmtId="0" fontId="13" fillId="5"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12" fillId="0" borderId="0" xfId="0" applyFont="1" applyAlignment="1">
      <alignment vertical="center" textRotation="90"/>
    </xf>
    <xf numFmtId="0" fontId="0" fillId="0" borderId="3" xfId="0" applyBorder="1" applyAlignment="1">
      <alignment vertical="center" wrapText="1"/>
    </xf>
    <xf numFmtId="0" fontId="6" fillId="0" borderId="3" xfId="0" applyFont="1" applyBorder="1" applyAlignment="1">
      <alignment horizontal="center" vertical="center" wrapText="1"/>
    </xf>
    <xf numFmtId="0" fontId="10" fillId="0" borderId="3" xfId="0" applyFont="1" applyBorder="1" applyAlignment="1">
      <alignment horizontal="center" vertical="center"/>
    </xf>
    <xf numFmtId="43" fontId="0" fillId="2" borderId="3" xfId="3" applyFont="1" applyFill="1" applyBorder="1" applyAlignment="1">
      <alignment horizontal="right" vertical="center"/>
    </xf>
    <xf numFmtId="43" fontId="1" fillId="2" borderId="1" xfId="3" applyFont="1" applyFill="1" applyBorder="1" applyAlignment="1">
      <alignment horizontal="right" vertical="center"/>
    </xf>
    <xf numFmtId="43" fontId="0" fillId="2" borderId="1" xfId="3" applyFont="1" applyFill="1" applyBorder="1" applyAlignment="1">
      <alignment horizontal="right" vertical="center"/>
    </xf>
    <xf numFmtId="0" fontId="16" fillId="0" borderId="0" xfId="0" applyFont="1"/>
    <xf numFmtId="0" fontId="0" fillId="8" borderId="0" xfId="0" applyFill="1"/>
    <xf numFmtId="0" fontId="12" fillId="8" borderId="13" xfId="0" applyFont="1" applyFill="1" applyBorder="1" applyAlignment="1">
      <alignment vertical="center" textRotation="90"/>
    </xf>
    <xf numFmtId="2" fontId="17" fillId="0" borderId="3" xfId="0" applyNumberFormat="1" applyFont="1" applyBorder="1" applyAlignment="1" applyProtection="1">
      <alignment horizontal="right" vertical="center"/>
      <protection locked="0"/>
    </xf>
    <xf numFmtId="164" fontId="17" fillId="0" borderId="3" xfId="3" applyNumberFormat="1" applyFont="1" applyBorder="1" applyAlignment="1" applyProtection="1">
      <alignment horizontal="center" vertical="center"/>
      <protection locked="0"/>
    </xf>
    <xf numFmtId="0" fontId="17" fillId="0" borderId="3" xfId="0" applyFont="1" applyBorder="1" applyAlignment="1" applyProtection="1">
      <alignment horizontal="right" vertical="center"/>
      <protection locked="0"/>
    </xf>
    <xf numFmtId="164" fontId="17" fillId="0" borderId="3" xfId="3" applyNumberFormat="1" applyFont="1" applyBorder="1" applyAlignment="1" applyProtection="1">
      <alignment horizontal="right" vertical="center"/>
      <protection locked="0"/>
    </xf>
    <xf numFmtId="10" fontId="17" fillId="0" borderId="3" xfId="0" applyNumberFormat="1"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9" fillId="0" borderId="14" xfId="0" applyFont="1" applyBorder="1" applyAlignment="1" applyProtection="1">
      <alignment horizontal="center" vertical="center" wrapText="1"/>
      <protection locked="0"/>
    </xf>
    <xf numFmtId="0" fontId="19" fillId="0" borderId="15" xfId="0" applyFont="1" applyBorder="1" applyAlignment="1" applyProtection="1">
      <alignment horizontal="center" vertical="center" wrapText="1"/>
      <protection locked="0"/>
    </xf>
    <xf numFmtId="0" fontId="12" fillId="6" borderId="0" xfId="0" applyFont="1" applyFill="1" applyAlignment="1">
      <alignment horizontal="center" vertical="center" textRotation="90"/>
    </xf>
    <xf numFmtId="0" fontId="12" fillId="4" borderId="13" xfId="0" applyFont="1" applyFill="1" applyBorder="1" applyAlignment="1">
      <alignment horizontal="center" vertical="center" textRotation="90"/>
    </xf>
    <xf numFmtId="0" fontId="13" fillId="5" borderId="3" xfId="0" applyFont="1" applyFill="1" applyBorder="1" applyAlignment="1">
      <alignment horizontal="center" vertical="center" wrapText="1"/>
    </xf>
    <xf numFmtId="0" fontId="14" fillId="7" borderId="0" xfId="0" applyFont="1" applyFill="1" applyAlignment="1">
      <alignment horizontal="center" vertical="center" textRotation="90"/>
    </xf>
    <xf numFmtId="0" fontId="15" fillId="0" borderId="0" xfId="0" applyFont="1" applyAlignment="1">
      <alignment horizontal="center" vertical="center" wrapText="1"/>
    </xf>
    <xf numFmtId="0" fontId="3" fillId="0" borderId="3" xfId="0" applyFont="1" applyBorder="1" applyAlignment="1">
      <alignment horizontal="center"/>
    </xf>
  </cellXfs>
  <cellStyles count="5">
    <cellStyle name="Milliers" xfId="3" builtinId="3"/>
    <cellStyle name="Normal" xfId="0" builtinId="0"/>
    <cellStyle name="Normal 2" xfId="1" xr:uid="{81950524-E944-4A5F-904C-1CAF0E8832B2}"/>
    <cellStyle name="Pourcentage" xfId="4" builtinId="5"/>
    <cellStyle name="Pourcentage 2" xfId="2" xr:uid="{C9F0983A-F191-4A7C-B5A0-A59CF90F19C1}"/>
  </cellStyles>
  <dxfs count="2">
    <dxf>
      <font>
        <b/>
        <i val="0"/>
        <color rgb="FFC00000"/>
      </font>
    </dxf>
    <dxf>
      <font>
        <b/>
        <i val="0"/>
        <color rgb="FF00B050"/>
      </font>
    </dxf>
  </dxfs>
  <tableStyles count="0" defaultTableStyle="TableStyleMedium2" defaultPivotStyle="PivotStyleLight16"/>
  <colors>
    <mruColors>
      <color rgb="FFFF9393"/>
      <color rgb="FFE0FCA2"/>
      <color rgb="FFF47B78"/>
      <color rgb="FFDAC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CH" sz="1400" b="0" i="0" u="none" strike="noStrike" kern="1200" spc="0" baseline="0">
                <a:solidFill>
                  <a:sysClr val="windowText" lastClr="000000">
                    <a:lumMod val="65000"/>
                    <a:lumOff val="35000"/>
                  </a:sysClr>
                </a:solidFill>
              </a:rPr>
              <a:t>Répartition des émissions et du stockage de carbone dans l'exploitation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v>Emissions</c:v>
          </c:tx>
          <c:spPr>
            <a:solidFill>
              <a:srgbClr val="FF9393"/>
            </a:solidFill>
            <a:ln>
              <a:noFill/>
            </a:ln>
            <a:effectLst/>
          </c:spPr>
          <c:invertIfNegative val="0"/>
          <c:dLbls>
            <c:dLbl>
              <c:idx val="0"/>
              <c:tx>
                <c:rich>
                  <a:bodyPr/>
                  <a:lstStyle/>
                  <a:p>
                    <a:fld id="{6C2DFD1D-0881-4E9B-BDBD-C1D7076E731C}" type="CELLRANGE">
                      <a:rPr lang="en-US"/>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DB1-4038-9A07-5DF365D6C4F2}"/>
                </c:ext>
              </c:extLst>
            </c:dLbl>
            <c:dLbl>
              <c:idx val="1"/>
              <c:tx>
                <c:rich>
                  <a:bodyPr/>
                  <a:lstStyle/>
                  <a:p>
                    <a:fld id="{D32DF17E-95AF-412D-A23B-0B6FE618726E}"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DB1-4038-9A07-5DF365D6C4F2}"/>
                </c:ext>
              </c:extLst>
            </c:dLbl>
            <c:dLbl>
              <c:idx val="2"/>
              <c:tx>
                <c:rich>
                  <a:bodyPr/>
                  <a:lstStyle/>
                  <a:p>
                    <a:fld id="{C48343B4-B402-4B18-B3BA-0DFC2327ABE9}"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DB1-4038-9A07-5DF365D6C4F2}"/>
                </c:ext>
              </c:extLst>
            </c:dLbl>
            <c:dLbl>
              <c:idx val="3"/>
              <c:tx>
                <c:rich>
                  <a:bodyPr/>
                  <a:lstStyle/>
                  <a:p>
                    <a:fld id="{6B03F498-E1F7-41E5-A72C-AB7FC1B85E0B}"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DB1-4038-9A07-5DF365D6C4F2}"/>
                </c:ext>
              </c:extLst>
            </c:dLbl>
            <c:dLbl>
              <c:idx val="4"/>
              <c:tx>
                <c:rich>
                  <a:bodyPr/>
                  <a:lstStyle/>
                  <a:p>
                    <a:fld id="{DF4E2916-DAAB-4501-83F6-358CB9BD4CDB}"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DB1-4038-9A07-5DF365D6C4F2}"/>
                </c:ext>
              </c:extLst>
            </c:dLbl>
            <c:dLbl>
              <c:idx val="5"/>
              <c:tx>
                <c:rich>
                  <a:bodyPr/>
                  <a:lstStyle/>
                  <a:p>
                    <a:fld id="{33AFD52E-5009-4AA2-A5A3-27ADD70890A5}"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DB1-4038-9A07-5DF365D6C4F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'Feuille de calculs'!$A$6:$A$11</c:f>
              <c:strCache>
                <c:ptCount val="6"/>
                <c:pt idx="0">
                  <c:v>Carburant </c:v>
                </c:pt>
                <c:pt idx="1">
                  <c:v>Traitements </c:v>
                </c:pt>
                <c:pt idx="2">
                  <c:v>Apports en azote</c:v>
                </c:pt>
                <c:pt idx="3">
                  <c:v>Enherbement </c:v>
                </c:pt>
                <c:pt idx="4">
                  <c:v>Amendement</c:v>
                </c:pt>
                <c:pt idx="5">
                  <c:v>Stockage lié aux parties vertes</c:v>
                </c:pt>
              </c:strCache>
            </c:strRef>
          </c:cat>
          <c:val>
            <c:numRef>
              <c:f>'Feuille de calculs'!$D$6:$D$11</c:f>
              <c:numCache>
                <c:formatCode>0%</c:formatCode>
                <c:ptCount val="6"/>
                <c:pt idx="0">
                  <c:v>0</c:v>
                </c:pt>
                <c:pt idx="1">
                  <c:v>0</c:v>
                </c:pt>
                <c:pt idx="2">
                  <c:v>0</c:v>
                </c:pt>
                <c:pt idx="3">
                  <c:v>0</c:v>
                </c:pt>
                <c:pt idx="4">
                  <c:v>0</c:v>
                </c:pt>
                <c:pt idx="5">
                  <c:v>0</c:v>
                </c:pt>
              </c:numCache>
            </c:numRef>
          </c:val>
          <c:extLst>
            <c:ext xmlns:c15="http://schemas.microsoft.com/office/drawing/2012/chart" uri="{02D57815-91ED-43cb-92C2-25804820EDAC}">
              <c15:datalabelsRange>
                <c15:f>'Feuille de calculs'!$C$6:$C$11</c15:f>
                <c15:dlblRangeCache>
                  <c:ptCount val="6"/>
                  <c:pt idx="0">
                    <c:v>#VALEUR!</c:v>
                  </c:pt>
                  <c:pt idx="1">
                    <c:v>#VALEUR!</c:v>
                  </c:pt>
                  <c:pt idx="2">
                    <c:v>#VALEUR!</c:v>
                  </c:pt>
                  <c:pt idx="3">
                    <c:v>#VALEUR!</c:v>
                  </c:pt>
                  <c:pt idx="4">
                    <c:v>#VALEUR!</c:v>
                  </c:pt>
                  <c:pt idx="5">
                    <c:v>#VALEUR!</c:v>
                  </c:pt>
                </c15:dlblRangeCache>
              </c15:datalabelsRange>
            </c:ext>
            <c:ext xmlns:c16="http://schemas.microsoft.com/office/drawing/2014/chart" uri="{C3380CC4-5D6E-409C-BE32-E72D297353CC}">
              <c16:uniqueId val="{00000006-EDB1-4038-9A07-5DF365D6C4F2}"/>
            </c:ext>
          </c:extLst>
        </c:ser>
        <c:ser>
          <c:idx val="1"/>
          <c:order val="1"/>
          <c:tx>
            <c:v>Stockage</c:v>
          </c:tx>
          <c:spPr>
            <a:solidFill>
              <a:schemeClr val="accent6">
                <a:lumMod val="40000"/>
                <a:lumOff val="60000"/>
              </a:schemeClr>
            </a:solidFill>
            <a:ln>
              <a:noFill/>
            </a:ln>
            <a:effectLst/>
          </c:spPr>
          <c:invertIfNegative val="0"/>
          <c:cat>
            <c:strRef>
              <c:f>'Feuille de calculs'!$A$6:$A$11</c:f>
              <c:strCache>
                <c:ptCount val="6"/>
                <c:pt idx="0">
                  <c:v>Carburant </c:v>
                </c:pt>
                <c:pt idx="1">
                  <c:v>Traitements </c:v>
                </c:pt>
                <c:pt idx="2">
                  <c:v>Apports en azote</c:v>
                </c:pt>
                <c:pt idx="3">
                  <c:v>Enherbement </c:v>
                </c:pt>
                <c:pt idx="4">
                  <c:v>Amendement</c:v>
                </c:pt>
                <c:pt idx="5">
                  <c:v>Stockage lié aux parties vertes</c:v>
                </c:pt>
              </c:strCache>
            </c:strRef>
          </c:cat>
          <c:val>
            <c:numRef>
              <c:f>'Feuille de calculs'!$E$6:$E$11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7-EDB1-4038-9A07-5DF365D6C4F2}"/>
            </c:ext>
          </c:extLst>
        </c:ser>
        <c:dLbls>
          <c:showLegendKey val="0"/>
          <c:showVal val="0"/>
          <c:showCatName val="0"/>
          <c:showSerName val="0"/>
          <c:showPercent val="0"/>
          <c:showBubbleSize val="0"/>
        </c:dLbls>
        <c:gapWidth val="182"/>
        <c:axId val="885913248"/>
        <c:axId val="895821360"/>
      </c:barChart>
      <c:catAx>
        <c:axId val="8859132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95821360"/>
        <c:crosses val="autoZero"/>
        <c:auto val="1"/>
        <c:lblAlgn val="ctr"/>
        <c:lblOffset val="100"/>
        <c:noMultiLvlLbl val="0"/>
      </c:catAx>
      <c:valAx>
        <c:axId val="8958213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85913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CH"/>
              <a:t>Répartition des émissions carbone</a:t>
            </a:r>
            <a:r>
              <a:rPr lang="fr-CH" baseline="0"/>
              <a:t> dans l'exploitation</a:t>
            </a:r>
            <a:endParaRPr lang="fr-CH"/>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CH"/>
        </a:p>
      </c:txPr>
    </c:title>
    <c:autoTitleDeleted val="0"/>
    <c:plotArea>
      <c:layout/>
      <c:barChart>
        <c:barDir val="bar"/>
        <c:grouping val="clustered"/>
        <c:varyColors val="1"/>
        <c:ser>
          <c:idx val="0"/>
          <c:order val="0"/>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5-A02E-4459-89E0-4D53E0776688}"/>
              </c:ext>
            </c:extLst>
          </c:dPt>
          <c:dPt>
            <c:idx val="1"/>
            <c:invertIfNegative val="0"/>
            <c:bubble3D val="0"/>
            <c:spPr>
              <a:solidFill>
                <a:srgbClr val="FF0000"/>
              </a:solidFill>
              <a:ln>
                <a:noFill/>
              </a:ln>
              <a:effectLst/>
            </c:spPr>
            <c:extLst>
              <c:ext xmlns:c16="http://schemas.microsoft.com/office/drawing/2014/chart" uri="{C3380CC4-5D6E-409C-BE32-E72D297353CC}">
                <c16:uniqueId val="{00000006-A02E-4459-89E0-4D53E0776688}"/>
              </c:ext>
            </c:extLst>
          </c:dPt>
          <c:dPt>
            <c:idx val="2"/>
            <c:invertIfNegative val="0"/>
            <c:bubble3D val="0"/>
            <c:spPr>
              <a:solidFill>
                <a:srgbClr val="92D050"/>
              </a:solidFill>
              <a:ln>
                <a:noFill/>
              </a:ln>
              <a:effectLst/>
            </c:spPr>
            <c:extLst>
              <c:ext xmlns:c16="http://schemas.microsoft.com/office/drawing/2014/chart" uri="{C3380CC4-5D6E-409C-BE32-E72D297353CC}">
                <c16:uniqueId val="{00000007-A02E-4459-89E0-4D53E0776688}"/>
              </c:ext>
            </c:extLst>
          </c:dPt>
          <c:dPt>
            <c:idx val="3"/>
            <c:invertIfNegative val="0"/>
            <c:bubble3D val="0"/>
            <c:spPr>
              <a:solidFill>
                <a:srgbClr val="92D050"/>
              </a:solidFill>
              <a:ln>
                <a:noFill/>
              </a:ln>
              <a:effectLst/>
            </c:spPr>
            <c:extLst>
              <c:ext xmlns:c16="http://schemas.microsoft.com/office/drawing/2014/chart" uri="{C3380CC4-5D6E-409C-BE32-E72D297353CC}">
                <c16:uniqueId val="{00000004-A02E-4459-89E0-4D53E0776688}"/>
              </c:ext>
            </c:extLst>
          </c:dPt>
          <c:dPt>
            <c:idx val="4"/>
            <c:invertIfNegative val="0"/>
            <c:bubble3D val="0"/>
            <c:spPr>
              <a:solidFill>
                <a:srgbClr val="92D050"/>
              </a:solidFill>
              <a:ln>
                <a:noFill/>
              </a:ln>
              <a:effectLst/>
            </c:spPr>
            <c:extLst>
              <c:ext xmlns:c16="http://schemas.microsoft.com/office/drawing/2014/chart" uri="{C3380CC4-5D6E-409C-BE32-E72D297353CC}">
                <c16:uniqueId val="{00000003-A02E-4459-89E0-4D53E0776688}"/>
              </c:ext>
            </c:extLst>
          </c:dPt>
          <c:dPt>
            <c:idx val="5"/>
            <c:invertIfNegative val="0"/>
            <c:bubble3D val="0"/>
            <c:spPr>
              <a:solidFill>
                <a:srgbClr val="92D050"/>
              </a:solidFill>
              <a:ln>
                <a:noFill/>
              </a:ln>
              <a:effectLst/>
            </c:spPr>
            <c:extLst>
              <c:ext xmlns:c16="http://schemas.microsoft.com/office/drawing/2014/chart" uri="{C3380CC4-5D6E-409C-BE32-E72D297353CC}">
                <c16:uniqueId val="{00000002-A02E-4459-89E0-4D53E077668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'Feuille de calculs'!$A$6:$A$11</c:f>
              <c:strCache>
                <c:ptCount val="6"/>
                <c:pt idx="0">
                  <c:v>Carburant </c:v>
                </c:pt>
                <c:pt idx="1">
                  <c:v>Traitements </c:v>
                </c:pt>
                <c:pt idx="2">
                  <c:v>Apports en azote</c:v>
                </c:pt>
                <c:pt idx="3">
                  <c:v>Enherbement </c:v>
                </c:pt>
                <c:pt idx="4">
                  <c:v>Amendement</c:v>
                </c:pt>
                <c:pt idx="5">
                  <c:v>Stockage lié aux parties vertes</c:v>
                </c:pt>
              </c:strCache>
            </c:strRef>
          </c:cat>
          <c:val>
            <c:numRef>
              <c:f>'Feuille de calculs'!$C$6:$C$11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02E-4459-89E0-4D53E0776688}"/>
            </c:ext>
          </c:extLst>
        </c:ser>
        <c:dLbls>
          <c:showLegendKey val="0"/>
          <c:showVal val="0"/>
          <c:showCatName val="0"/>
          <c:showSerName val="0"/>
          <c:showPercent val="0"/>
          <c:showBubbleSize val="0"/>
        </c:dLbls>
        <c:gapWidth val="182"/>
        <c:axId val="790905856"/>
        <c:axId val="790910176"/>
      </c:barChart>
      <c:catAx>
        <c:axId val="79090585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90910176"/>
        <c:crosses val="autoZero"/>
        <c:auto val="1"/>
        <c:lblAlgn val="ctr"/>
        <c:lblOffset val="100"/>
        <c:noMultiLvlLbl val="0"/>
      </c:catAx>
      <c:valAx>
        <c:axId val="79091017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909058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CH" sz="1400" b="0" i="0" u="none" strike="noStrike" kern="1200" spc="0" baseline="0">
                <a:solidFill>
                  <a:sysClr val="windowText" lastClr="000000">
                    <a:lumMod val="65000"/>
                    <a:lumOff val="35000"/>
                  </a:sysClr>
                </a:solidFill>
              </a:rPr>
              <a:t>Répartition des émissions carbone dans l'exploitation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v>Emissions</c:v>
          </c:tx>
          <c:spPr>
            <a:solidFill>
              <a:srgbClr val="FF0000"/>
            </a:solidFill>
            <a:ln>
              <a:noFill/>
            </a:ln>
            <a:effectLst/>
          </c:spPr>
          <c:invertIfNegative val="0"/>
          <c:dLbls>
            <c:dLbl>
              <c:idx val="0"/>
              <c:tx>
                <c:rich>
                  <a:bodyPr/>
                  <a:lstStyle/>
                  <a:p>
                    <a:fld id="{F5D1318B-F1FD-46A0-827B-6C7F402D3BB7}" type="CELLRANGE">
                      <a:rPr lang="en-US"/>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8FA4-40DA-AC86-1377912D5007}"/>
                </c:ext>
              </c:extLst>
            </c:dLbl>
            <c:dLbl>
              <c:idx val="1"/>
              <c:tx>
                <c:rich>
                  <a:bodyPr/>
                  <a:lstStyle/>
                  <a:p>
                    <a:fld id="{FF79D033-626C-4512-84DB-E56D108EC740}"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FA4-40DA-AC86-1377912D5007}"/>
                </c:ext>
              </c:extLst>
            </c:dLbl>
            <c:dLbl>
              <c:idx val="2"/>
              <c:tx>
                <c:rich>
                  <a:bodyPr/>
                  <a:lstStyle/>
                  <a:p>
                    <a:fld id="{03FE03A6-DF98-4A84-8CE8-96B86357C955}"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FA4-40DA-AC86-1377912D5007}"/>
                </c:ext>
              </c:extLst>
            </c:dLbl>
            <c:dLbl>
              <c:idx val="3"/>
              <c:tx>
                <c:rich>
                  <a:bodyPr/>
                  <a:lstStyle/>
                  <a:p>
                    <a:fld id="{7D654AB9-0019-4470-A504-18E12998B331}"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FA4-40DA-AC86-1377912D5007}"/>
                </c:ext>
              </c:extLst>
            </c:dLbl>
            <c:dLbl>
              <c:idx val="4"/>
              <c:tx>
                <c:rich>
                  <a:bodyPr/>
                  <a:lstStyle/>
                  <a:p>
                    <a:fld id="{B497D23D-B1B4-4428-9CC0-10940F269F75}"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FA4-40DA-AC86-1377912D5007}"/>
                </c:ext>
              </c:extLst>
            </c:dLbl>
            <c:dLbl>
              <c:idx val="5"/>
              <c:tx>
                <c:rich>
                  <a:bodyPr/>
                  <a:lstStyle/>
                  <a:p>
                    <a:fld id="{59C18381-6CE5-4446-BD8A-DEC806C4FFAF}" type="CELLRANGE">
                      <a:rPr lang="fr-CH"/>
                      <a:pPr/>
                      <a:t>[PLAGECELL]</a:t>
                    </a:fld>
                    <a:endParaRPr lang="fr-CH"/>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FA4-40DA-AC86-1377912D50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'Feuille de calculs'!$A$6:$A$11</c:f>
              <c:strCache>
                <c:ptCount val="6"/>
                <c:pt idx="0">
                  <c:v>Carburant </c:v>
                </c:pt>
                <c:pt idx="1">
                  <c:v>Traitements </c:v>
                </c:pt>
                <c:pt idx="2">
                  <c:v>Apports en azote</c:v>
                </c:pt>
                <c:pt idx="3">
                  <c:v>Enherbement </c:v>
                </c:pt>
                <c:pt idx="4">
                  <c:v>Amendement</c:v>
                </c:pt>
                <c:pt idx="5">
                  <c:v>Stockage lié aux parties vertes</c:v>
                </c:pt>
              </c:strCache>
            </c:strRef>
          </c:cat>
          <c:val>
            <c:numRef>
              <c:f>'Feuille de calculs'!$D$6:$D$11</c:f>
              <c:numCache>
                <c:formatCode>0%</c:formatCode>
                <c:ptCount val="6"/>
                <c:pt idx="0">
                  <c:v>0</c:v>
                </c:pt>
                <c:pt idx="1">
                  <c:v>0</c:v>
                </c:pt>
                <c:pt idx="2">
                  <c:v>0</c:v>
                </c:pt>
                <c:pt idx="3">
                  <c:v>0</c:v>
                </c:pt>
                <c:pt idx="4">
                  <c:v>0</c:v>
                </c:pt>
                <c:pt idx="5">
                  <c:v>0</c:v>
                </c:pt>
              </c:numCache>
            </c:numRef>
          </c:val>
          <c:extLst>
            <c:ext xmlns:c15="http://schemas.microsoft.com/office/drawing/2012/chart" uri="{02D57815-91ED-43cb-92C2-25804820EDAC}">
              <c15:datalabelsRange>
                <c15:f>'Feuille de calculs'!$C$6:$C$11</c15:f>
                <c15:dlblRangeCache>
                  <c:ptCount val="6"/>
                  <c:pt idx="0">
                    <c:v>#VALEUR!</c:v>
                  </c:pt>
                  <c:pt idx="1">
                    <c:v>#VALEUR!</c:v>
                  </c:pt>
                  <c:pt idx="2">
                    <c:v>#VALEUR!</c:v>
                  </c:pt>
                  <c:pt idx="3">
                    <c:v>#VALEUR!</c:v>
                  </c:pt>
                  <c:pt idx="4">
                    <c:v>#VALEUR!</c:v>
                  </c:pt>
                  <c:pt idx="5">
                    <c:v>#VALEUR!</c:v>
                  </c:pt>
                </c15:dlblRangeCache>
              </c15:datalabelsRange>
            </c:ext>
            <c:ext xmlns:c16="http://schemas.microsoft.com/office/drawing/2014/chart" uri="{C3380CC4-5D6E-409C-BE32-E72D297353CC}">
              <c16:uniqueId val="{00000000-8FA4-40DA-AC86-1377912D5007}"/>
            </c:ext>
          </c:extLst>
        </c:ser>
        <c:ser>
          <c:idx val="1"/>
          <c:order val="1"/>
          <c:tx>
            <c:v>Stockage</c:v>
          </c:tx>
          <c:spPr>
            <a:solidFill>
              <a:srgbClr val="00B050"/>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7-8FA4-40DA-AC86-1377912D5007}"/>
                </c:ext>
              </c:extLst>
            </c:dLbl>
            <c:dLbl>
              <c:idx val="1"/>
              <c:delete val="1"/>
              <c:extLst>
                <c:ext xmlns:c15="http://schemas.microsoft.com/office/drawing/2012/chart" uri="{CE6537A1-D6FC-4f65-9D91-7224C49458BB}"/>
                <c:ext xmlns:c16="http://schemas.microsoft.com/office/drawing/2014/chart" uri="{C3380CC4-5D6E-409C-BE32-E72D297353CC}">
                  <c16:uniqueId val="{00000006-8FA4-40DA-AC86-1377912D5007}"/>
                </c:ext>
              </c:extLst>
            </c:dLbl>
            <c:dLbl>
              <c:idx val="2"/>
              <c:delete val="1"/>
              <c:extLst>
                <c:ext xmlns:c15="http://schemas.microsoft.com/office/drawing/2012/chart" uri="{CE6537A1-D6FC-4f65-9D91-7224C49458BB}"/>
                <c:ext xmlns:c16="http://schemas.microsoft.com/office/drawing/2014/chart" uri="{C3380CC4-5D6E-409C-BE32-E72D297353CC}">
                  <c16:uniqueId val="{00000005-8FA4-40DA-AC86-1377912D50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'Feuille de calculs'!$A$6:$A$11</c:f>
              <c:strCache>
                <c:ptCount val="6"/>
                <c:pt idx="0">
                  <c:v>Carburant </c:v>
                </c:pt>
                <c:pt idx="1">
                  <c:v>Traitements </c:v>
                </c:pt>
                <c:pt idx="2">
                  <c:v>Apports en azote</c:v>
                </c:pt>
                <c:pt idx="3">
                  <c:v>Enherbement </c:v>
                </c:pt>
                <c:pt idx="4">
                  <c:v>Amendement</c:v>
                </c:pt>
                <c:pt idx="5">
                  <c:v>Stockage lié aux parties vertes</c:v>
                </c:pt>
              </c:strCache>
            </c:strRef>
          </c:cat>
          <c:val>
            <c:numRef>
              <c:f>'Feuille de calculs'!$E$6:$E$11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8FA4-40DA-AC86-1377912D5007}"/>
            </c:ext>
          </c:extLst>
        </c:ser>
        <c:dLbls>
          <c:showLegendKey val="0"/>
          <c:showVal val="0"/>
          <c:showCatName val="0"/>
          <c:showSerName val="0"/>
          <c:showPercent val="0"/>
          <c:showBubbleSize val="0"/>
        </c:dLbls>
        <c:gapWidth val="182"/>
        <c:axId val="885913248"/>
        <c:axId val="895821360"/>
      </c:barChart>
      <c:catAx>
        <c:axId val="8859132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95821360"/>
        <c:crosses val="autoZero"/>
        <c:auto val="1"/>
        <c:lblAlgn val="ctr"/>
        <c:lblOffset val="100"/>
        <c:noMultiLvlLbl val="0"/>
      </c:catAx>
      <c:valAx>
        <c:axId val="8958213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85913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CH"/>
              <a:t>Répartitions des</a:t>
            </a:r>
            <a:r>
              <a:rPr lang="fr-CH" baseline="0"/>
              <a:t> émissions de l'exploitation </a:t>
            </a:r>
            <a:endParaRPr lang="fr-CH"/>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CH"/>
        </a:p>
      </c:txPr>
    </c:title>
    <c:autoTitleDeleted val="0"/>
    <c:plotArea>
      <c:layout/>
      <c:barChart>
        <c:barDir val="bar"/>
        <c:grouping val="clustered"/>
        <c:varyColors val="0"/>
        <c:ser>
          <c:idx val="0"/>
          <c:order val="0"/>
          <c:tx>
            <c:strRef>
              <c:f>Graphiques!$E$1</c:f>
              <c:strCache>
                <c:ptCount val="1"/>
                <c:pt idx="0">
                  <c:v>Part (%)</c:v>
                </c:pt>
              </c:strCache>
            </c:strRef>
          </c:tx>
          <c:spPr>
            <a:solidFill>
              <a:srgbClr val="F47B78"/>
            </a:solidFill>
            <a:ln>
              <a:solidFill>
                <a:srgbClr val="F47B78"/>
              </a:solidFill>
            </a:ln>
            <a:effectLst/>
          </c:spPr>
          <c:invertIfNegative val="0"/>
          <c:cat>
            <c:strRef>
              <c:f>Graphiques!$A$2:$A$8</c:f>
              <c:strCache>
                <c:ptCount val="7"/>
                <c:pt idx="0">
                  <c:v>Essence</c:v>
                </c:pt>
                <c:pt idx="1">
                  <c:v>Diesel</c:v>
                </c:pt>
                <c:pt idx="2">
                  <c:v>Engrais minéral</c:v>
                </c:pt>
                <c:pt idx="3">
                  <c:v>PPh par application (bio)</c:v>
                </c:pt>
                <c:pt idx="4">
                  <c:v>PPh par application (bio après fleur)</c:v>
                </c:pt>
                <c:pt idx="5">
                  <c:v>PPh par application (non bio)</c:v>
                </c:pt>
                <c:pt idx="6">
                  <c:v>Herbicide </c:v>
                </c:pt>
              </c:strCache>
            </c:strRef>
          </c:cat>
          <c:val>
            <c:numRef>
              <c:f>Graphiques!$E$2:$E$8</c:f>
              <c:numCache>
                <c:formatCode>0%</c:formatCode>
                <c:ptCount val="7"/>
                <c:pt idx="0">
                  <c:v>5.6681927185524304E-2</c:v>
                </c:pt>
                <c:pt idx="1">
                  <c:v>6.910834968388925E-2</c:v>
                </c:pt>
                <c:pt idx="2">
                  <c:v>0.30521037715282318</c:v>
                </c:pt>
                <c:pt idx="3">
                  <c:v>4.5781556572923474E-2</c:v>
                </c:pt>
                <c:pt idx="4">
                  <c:v>0.15260518857641159</c:v>
                </c:pt>
                <c:pt idx="5">
                  <c:v>0.21800741225201656</c:v>
                </c:pt>
                <c:pt idx="6">
                  <c:v>0.15260518857641159</c:v>
                </c:pt>
              </c:numCache>
            </c:numRef>
          </c:val>
          <c:extLst>
            <c:ext xmlns:c16="http://schemas.microsoft.com/office/drawing/2014/chart" uri="{C3380CC4-5D6E-409C-BE32-E72D297353CC}">
              <c16:uniqueId val="{00000000-93FC-4D73-A212-84F7CAEA31A6}"/>
            </c:ext>
          </c:extLst>
        </c:ser>
        <c:dLbls>
          <c:showLegendKey val="0"/>
          <c:showVal val="0"/>
          <c:showCatName val="0"/>
          <c:showSerName val="0"/>
          <c:showPercent val="0"/>
          <c:showBubbleSize val="0"/>
        </c:dLbls>
        <c:gapWidth val="182"/>
        <c:axId val="1822878992"/>
        <c:axId val="1822862672"/>
      </c:barChart>
      <c:catAx>
        <c:axId val="18228789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22862672"/>
        <c:crosses val="autoZero"/>
        <c:auto val="1"/>
        <c:lblAlgn val="ctr"/>
        <c:lblOffset val="100"/>
        <c:noMultiLvlLbl val="0"/>
      </c:catAx>
      <c:valAx>
        <c:axId val="1822862672"/>
        <c:scaling>
          <c:orientation val="minMax"/>
          <c:max val="0.35000000000000003"/>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228789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CH"/>
              <a:t>Répartition</a:t>
            </a:r>
            <a:r>
              <a:rPr lang="fr-CH" baseline="0"/>
              <a:t> du stockage de l'exploitation</a:t>
            </a:r>
            <a:endParaRPr lang="fr-CH"/>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CH"/>
        </a:p>
      </c:txPr>
    </c:title>
    <c:autoTitleDeleted val="0"/>
    <c:plotArea>
      <c:layout/>
      <c:barChart>
        <c:barDir val="bar"/>
        <c:grouping val="clustered"/>
        <c:varyColors val="0"/>
        <c:ser>
          <c:idx val="0"/>
          <c:order val="0"/>
          <c:spPr>
            <a:solidFill>
              <a:schemeClr val="accent6">
                <a:lumMod val="60000"/>
                <a:lumOff val="40000"/>
              </a:schemeClr>
            </a:solidFill>
            <a:ln>
              <a:noFill/>
            </a:ln>
            <a:effectLst/>
          </c:spPr>
          <c:invertIfNegative val="0"/>
          <c:cat>
            <c:strRef>
              <c:f>Graphiques!$A$15:$A$21</c:f>
              <c:strCache>
                <c:ptCount val="7"/>
                <c:pt idx="0">
                  <c:v>Engrais organique</c:v>
                </c:pt>
                <c:pt idx="1">
                  <c:v>BRF</c:v>
                </c:pt>
                <c:pt idx="2">
                  <c:v>Fumier</c:v>
                </c:pt>
                <c:pt idx="3">
                  <c:v>Enherbement (30%)</c:v>
                </c:pt>
                <c:pt idx="4">
                  <c:v>Enherbement (70%)</c:v>
                </c:pt>
                <c:pt idx="5">
                  <c:v>Enherbement (100%)</c:v>
                </c:pt>
                <c:pt idx="6">
                  <c:v>Broyage + retour parties vertes</c:v>
                </c:pt>
              </c:strCache>
            </c:strRef>
          </c:cat>
          <c:val>
            <c:numRef>
              <c:f>Graphiques!$E$15:$E$21</c:f>
              <c:numCache>
                <c:formatCode>0%</c:formatCode>
                <c:ptCount val="7"/>
                <c:pt idx="0">
                  <c:v>-9.419743782969104E-3</c:v>
                </c:pt>
                <c:pt idx="1">
                  <c:v>-0.10663149962321025</c:v>
                </c:pt>
                <c:pt idx="2">
                  <c:v>-2.9766390354182368E-2</c:v>
                </c:pt>
                <c:pt idx="3">
                  <c:v>-8.1763376036171814E-2</c:v>
                </c:pt>
                <c:pt idx="4">
                  <c:v>-0.19103240391861342</c:v>
                </c:pt>
                <c:pt idx="5">
                  <c:v>-0.27279577995478521</c:v>
                </c:pt>
                <c:pt idx="6">
                  <c:v>-0.3085908063300678</c:v>
                </c:pt>
              </c:numCache>
            </c:numRef>
          </c:val>
          <c:extLst>
            <c:ext xmlns:c16="http://schemas.microsoft.com/office/drawing/2014/chart" uri="{C3380CC4-5D6E-409C-BE32-E72D297353CC}">
              <c16:uniqueId val="{00000000-D6F8-4D76-9A6F-DC6B51E8AEDA}"/>
            </c:ext>
          </c:extLst>
        </c:ser>
        <c:dLbls>
          <c:showLegendKey val="0"/>
          <c:showVal val="0"/>
          <c:showCatName val="0"/>
          <c:showSerName val="0"/>
          <c:showPercent val="0"/>
          <c:showBubbleSize val="0"/>
        </c:dLbls>
        <c:gapWidth val="182"/>
        <c:axId val="133939984"/>
        <c:axId val="133943824"/>
      </c:barChart>
      <c:catAx>
        <c:axId val="133939984"/>
        <c:scaling>
          <c:orientation val="minMax"/>
        </c:scaling>
        <c:delete val="0"/>
        <c:axPos val="l"/>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3943824"/>
        <c:crosses val="autoZero"/>
        <c:auto val="1"/>
        <c:lblAlgn val="ctr"/>
        <c:lblOffset val="100"/>
        <c:noMultiLvlLbl val="0"/>
      </c:catAx>
      <c:valAx>
        <c:axId val="13394382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39399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Répartition</a:t>
            </a:r>
            <a:r>
              <a:rPr lang="en-US" baseline="0"/>
              <a:t> des émissions et du stockage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Graphiques!$B$26</c:f>
              <c:strCache>
                <c:ptCount val="1"/>
                <c:pt idx="0">
                  <c:v>Part (%)</c:v>
                </c:pt>
              </c:strCache>
            </c:strRef>
          </c:tx>
          <c:spPr>
            <a:solidFill>
              <a:schemeClr val="accent1"/>
            </a:solidFill>
            <a:ln>
              <a:noFill/>
            </a:ln>
            <a:effectLst/>
          </c:spPr>
          <c:invertIfNegative val="0"/>
          <c:dPt>
            <c:idx val="0"/>
            <c:invertIfNegative val="0"/>
            <c:bubble3D val="0"/>
            <c:spPr>
              <a:solidFill>
                <a:srgbClr val="F47B78"/>
              </a:solidFill>
              <a:ln>
                <a:noFill/>
              </a:ln>
              <a:effectLst/>
            </c:spPr>
            <c:extLst>
              <c:ext xmlns:c16="http://schemas.microsoft.com/office/drawing/2014/chart" uri="{C3380CC4-5D6E-409C-BE32-E72D297353CC}">
                <c16:uniqueId val="{0000000E-AC7E-41F7-98F2-A6AAF34E77AB}"/>
              </c:ext>
            </c:extLst>
          </c:dPt>
          <c:dPt>
            <c:idx val="1"/>
            <c:invertIfNegative val="0"/>
            <c:bubble3D val="0"/>
            <c:spPr>
              <a:solidFill>
                <a:srgbClr val="F47B78"/>
              </a:solidFill>
              <a:ln>
                <a:noFill/>
              </a:ln>
              <a:effectLst/>
            </c:spPr>
            <c:extLst>
              <c:ext xmlns:c16="http://schemas.microsoft.com/office/drawing/2014/chart" uri="{C3380CC4-5D6E-409C-BE32-E72D297353CC}">
                <c16:uniqueId val="{0000000D-AC7E-41F7-98F2-A6AAF34E77AB}"/>
              </c:ext>
            </c:extLst>
          </c:dPt>
          <c:dPt>
            <c:idx val="2"/>
            <c:invertIfNegative val="0"/>
            <c:bubble3D val="0"/>
            <c:spPr>
              <a:solidFill>
                <a:srgbClr val="F47B78"/>
              </a:solidFill>
              <a:ln>
                <a:noFill/>
              </a:ln>
              <a:effectLst/>
            </c:spPr>
            <c:extLst>
              <c:ext xmlns:c16="http://schemas.microsoft.com/office/drawing/2014/chart" uri="{C3380CC4-5D6E-409C-BE32-E72D297353CC}">
                <c16:uniqueId val="{0000000C-AC7E-41F7-98F2-A6AAF34E77AB}"/>
              </c:ext>
            </c:extLst>
          </c:dPt>
          <c:dPt>
            <c:idx val="3"/>
            <c:invertIfNegative val="0"/>
            <c:bubble3D val="0"/>
            <c:spPr>
              <a:solidFill>
                <a:srgbClr val="F47B78"/>
              </a:solidFill>
              <a:ln>
                <a:noFill/>
              </a:ln>
              <a:effectLst/>
            </c:spPr>
            <c:extLst>
              <c:ext xmlns:c16="http://schemas.microsoft.com/office/drawing/2014/chart" uri="{C3380CC4-5D6E-409C-BE32-E72D297353CC}">
                <c16:uniqueId val="{0000000B-AC7E-41F7-98F2-A6AAF34E77AB}"/>
              </c:ext>
            </c:extLst>
          </c:dPt>
          <c:dPt>
            <c:idx val="4"/>
            <c:invertIfNegative val="0"/>
            <c:bubble3D val="0"/>
            <c:spPr>
              <a:solidFill>
                <a:srgbClr val="F47B78"/>
              </a:solidFill>
              <a:ln>
                <a:noFill/>
              </a:ln>
              <a:effectLst/>
            </c:spPr>
            <c:extLst>
              <c:ext xmlns:c16="http://schemas.microsoft.com/office/drawing/2014/chart" uri="{C3380CC4-5D6E-409C-BE32-E72D297353CC}">
                <c16:uniqueId val="{0000000A-AC7E-41F7-98F2-A6AAF34E77AB}"/>
              </c:ext>
            </c:extLst>
          </c:dPt>
          <c:dPt>
            <c:idx val="5"/>
            <c:invertIfNegative val="0"/>
            <c:bubble3D val="0"/>
            <c:spPr>
              <a:solidFill>
                <a:srgbClr val="F47B78"/>
              </a:solidFill>
              <a:ln>
                <a:noFill/>
              </a:ln>
              <a:effectLst/>
            </c:spPr>
            <c:extLst>
              <c:ext xmlns:c16="http://schemas.microsoft.com/office/drawing/2014/chart" uri="{C3380CC4-5D6E-409C-BE32-E72D297353CC}">
                <c16:uniqueId val="{00000009-AC7E-41F7-98F2-A6AAF34E77AB}"/>
              </c:ext>
            </c:extLst>
          </c:dPt>
          <c:dPt>
            <c:idx val="6"/>
            <c:invertIfNegative val="0"/>
            <c:bubble3D val="0"/>
            <c:spPr>
              <a:solidFill>
                <a:srgbClr val="F47B78"/>
              </a:solidFill>
              <a:ln>
                <a:noFill/>
              </a:ln>
              <a:effectLst/>
            </c:spPr>
            <c:extLst>
              <c:ext xmlns:c16="http://schemas.microsoft.com/office/drawing/2014/chart" uri="{C3380CC4-5D6E-409C-BE32-E72D297353CC}">
                <c16:uniqueId val="{00000008-AC7E-41F7-98F2-A6AAF34E77AB}"/>
              </c:ext>
            </c:extLst>
          </c:dPt>
          <c:dPt>
            <c:idx val="7"/>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7-AC7E-41F7-98F2-A6AAF34E77AB}"/>
              </c:ext>
            </c:extLst>
          </c:dPt>
          <c:dPt>
            <c:idx val="8"/>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6-AC7E-41F7-98F2-A6AAF34E77AB}"/>
              </c:ext>
            </c:extLst>
          </c:dPt>
          <c:dPt>
            <c:idx val="9"/>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5-AC7E-41F7-98F2-A6AAF34E77AB}"/>
              </c:ext>
            </c:extLst>
          </c:dPt>
          <c:dPt>
            <c:idx val="1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4-AC7E-41F7-98F2-A6AAF34E77AB}"/>
              </c:ext>
            </c:extLst>
          </c:dPt>
          <c:dPt>
            <c:idx val="11"/>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3-AC7E-41F7-98F2-A6AAF34E77AB}"/>
              </c:ext>
            </c:extLst>
          </c:dPt>
          <c:dPt>
            <c:idx val="12"/>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2-AC7E-41F7-98F2-A6AAF34E77AB}"/>
              </c:ext>
            </c:extLst>
          </c:dPt>
          <c:dPt>
            <c:idx val="1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AC7E-41F7-98F2-A6AAF34E77AB}"/>
              </c:ext>
            </c:extLst>
          </c:dPt>
          <c:cat>
            <c:strRef>
              <c:f>Graphiques!$A$27:$A$40</c:f>
              <c:strCache>
                <c:ptCount val="14"/>
                <c:pt idx="0">
                  <c:v>Essence</c:v>
                </c:pt>
                <c:pt idx="1">
                  <c:v>Diesel</c:v>
                </c:pt>
                <c:pt idx="2">
                  <c:v>Engrais minéral</c:v>
                </c:pt>
                <c:pt idx="3">
                  <c:v>PPh bio</c:v>
                </c:pt>
                <c:pt idx="4">
                  <c:v>PPh bio après fleur</c:v>
                </c:pt>
                <c:pt idx="5">
                  <c:v>PPh non bio</c:v>
                </c:pt>
                <c:pt idx="6">
                  <c:v>Herbicide</c:v>
                </c:pt>
                <c:pt idx="7">
                  <c:v>Engrais organique</c:v>
                </c:pt>
                <c:pt idx="8">
                  <c:v>BRF</c:v>
                </c:pt>
                <c:pt idx="9">
                  <c:v>Fumier</c:v>
                </c:pt>
                <c:pt idx="10">
                  <c:v>Enherbement 30%</c:v>
                </c:pt>
                <c:pt idx="11">
                  <c:v>Enherbement 70%</c:v>
                </c:pt>
                <c:pt idx="12">
                  <c:v>Enherbement 100%</c:v>
                </c:pt>
                <c:pt idx="13">
                  <c:v>Broyage + retour parties vertes</c:v>
                </c:pt>
              </c:strCache>
            </c:strRef>
          </c:cat>
          <c:val>
            <c:numRef>
              <c:f>Graphiques!$B$27:$B$40</c:f>
              <c:numCache>
                <c:formatCode>0%</c:formatCode>
                <c:ptCount val="14"/>
                <c:pt idx="0">
                  <c:v>0.06</c:v>
                </c:pt>
                <c:pt idx="1">
                  <c:v>7.0000000000000007E-2</c:v>
                </c:pt>
                <c:pt idx="2">
                  <c:v>0.31</c:v>
                </c:pt>
                <c:pt idx="3">
                  <c:v>0.05</c:v>
                </c:pt>
                <c:pt idx="4">
                  <c:v>0.15</c:v>
                </c:pt>
                <c:pt idx="5">
                  <c:v>0.22</c:v>
                </c:pt>
                <c:pt idx="6">
                  <c:v>0.15</c:v>
                </c:pt>
                <c:pt idx="7">
                  <c:v>-0.01</c:v>
                </c:pt>
                <c:pt idx="8">
                  <c:v>-0.11</c:v>
                </c:pt>
                <c:pt idx="9">
                  <c:v>-0.03</c:v>
                </c:pt>
                <c:pt idx="10">
                  <c:v>-0.08</c:v>
                </c:pt>
                <c:pt idx="11">
                  <c:v>-0.19</c:v>
                </c:pt>
                <c:pt idx="12">
                  <c:v>-0.27</c:v>
                </c:pt>
                <c:pt idx="13">
                  <c:v>-0.31</c:v>
                </c:pt>
              </c:numCache>
            </c:numRef>
          </c:val>
          <c:extLst>
            <c:ext xmlns:c16="http://schemas.microsoft.com/office/drawing/2014/chart" uri="{C3380CC4-5D6E-409C-BE32-E72D297353CC}">
              <c16:uniqueId val="{00000000-AC7E-41F7-98F2-A6AAF34E77AB}"/>
            </c:ext>
          </c:extLst>
        </c:ser>
        <c:dLbls>
          <c:showLegendKey val="0"/>
          <c:showVal val="0"/>
          <c:showCatName val="0"/>
          <c:showSerName val="0"/>
          <c:showPercent val="0"/>
          <c:showBubbleSize val="0"/>
        </c:dLbls>
        <c:gapWidth val="182"/>
        <c:axId val="1475320864"/>
        <c:axId val="1475307904"/>
      </c:barChart>
      <c:catAx>
        <c:axId val="147532086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475307904"/>
        <c:crosses val="autoZero"/>
        <c:auto val="1"/>
        <c:lblAlgn val="ctr"/>
        <c:lblOffset val="100"/>
        <c:noMultiLvlLbl val="0"/>
      </c:catAx>
      <c:valAx>
        <c:axId val="1475307904"/>
        <c:scaling>
          <c:orientation val="minMax"/>
          <c:max val="0.35000000000000003"/>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4753208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914400</xdr:colOff>
      <xdr:row>3</xdr:row>
      <xdr:rowOff>123825</xdr:rowOff>
    </xdr:from>
    <xdr:to>
      <xdr:col>14</xdr:col>
      <xdr:colOff>295275</xdr:colOff>
      <xdr:row>15</xdr:row>
      <xdr:rowOff>0</xdr:rowOff>
    </xdr:to>
    <xdr:graphicFrame macro="">
      <xdr:nvGraphicFramePr>
        <xdr:cNvPr id="4" name="Graphique 3">
          <a:extLst>
            <a:ext uri="{FF2B5EF4-FFF2-40B4-BE49-F238E27FC236}">
              <a16:creationId xmlns:a16="http://schemas.microsoft.com/office/drawing/2014/main" id="{461A7059-8314-442D-9BCF-7D31364401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429073</xdr:colOff>
      <xdr:row>38</xdr:row>
      <xdr:rowOff>95250</xdr:rowOff>
    </xdr:from>
    <xdr:to>
      <xdr:col>1</xdr:col>
      <xdr:colOff>742950</xdr:colOff>
      <xdr:row>42</xdr:row>
      <xdr:rowOff>148590</xdr:rowOff>
    </xdr:to>
    <xdr:pic>
      <xdr:nvPicPr>
        <xdr:cNvPr id="2" name="Image 1">
          <a:extLst>
            <a:ext uri="{FF2B5EF4-FFF2-40B4-BE49-F238E27FC236}">
              <a16:creationId xmlns:a16="http://schemas.microsoft.com/office/drawing/2014/main" id="{D03D36E5-B1AA-47DC-8E36-1211EEBF7A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9073" y="6130290"/>
          <a:ext cx="740597" cy="784860"/>
        </a:xfrm>
        <a:prstGeom prst="rect">
          <a:avLst/>
        </a:prstGeom>
      </xdr:spPr>
    </xdr:pic>
    <xdr:clientData/>
  </xdr:twoCellAnchor>
  <xdr:twoCellAnchor editAs="oneCell">
    <xdr:from>
      <xdr:col>1</xdr:col>
      <xdr:colOff>2767965</xdr:colOff>
      <xdr:row>38</xdr:row>
      <xdr:rowOff>144850</xdr:rowOff>
    </xdr:from>
    <xdr:to>
      <xdr:col>1</xdr:col>
      <xdr:colOff>3484243</xdr:colOff>
      <xdr:row>42</xdr:row>
      <xdr:rowOff>112393</xdr:rowOff>
    </xdr:to>
    <xdr:pic>
      <xdr:nvPicPr>
        <xdr:cNvPr id="3" name="Image 2">
          <a:extLst>
            <a:ext uri="{FF2B5EF4-FFF2-40B4-BE49-F238E27FC236}">
              <a16:creationId xmlns:a16="http://schemas.microsoft.com/office/drawing/2014/main" id="{501AA6DC-D70F-4C3D-B17B-EC4CA2A852D8}"/>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rot="814858">
          <a:off x="3110865" y="10256590"/>
          <a:ext cx="710563" cy="699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xdr:row>
      <xdr:rowOff>88900</xdr:rowOff>
    </xdr:from>
    <xdr:to>
      <xdr:col>7</xdr:col>
      <xdr:colOff>127000</xdr:colOff>
      <xdr:row>34</xdr:row>
      <xdr:rowOff>95250</xdr:rowOff>
    </xdr:to>
    <xdr:graphicFrame macro="">
      <xdr:nvGraphicFramePr>
        <xdr:cNvPr id="5" name="Graphique 4">
          <a:extLst>
            <a:ext uri="{FF2B5EF4-FFF2-40B4-BE49-F238E27FC236}">
              <a16:creationId xmlns:a16="http://schemas.microsoft.com/office/drawing/2014/main" id="{DDB945A0-D5CD-3258-921A-149B2EBD4E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42332</xdr:colOff>
      <xdr:row>7</xdr:row>
      <xdr:rowOff>141817</xdr:rowOff>
    </xdr:from>
    <xdr:to>
      <xdr:col>13</xdr:col>
      <xdr:colOff>95249</xdr:colOff>
      <xdr:row>26</xdr:row>
      <xdr:rowOff>74083</xdr:rowOff>
    </xdr:to>
    <xdr:graphicFrame macro="">
      <xdr:nvGraphicFramePr>
        <xdr:cNvPr id="6" name="Graphique 5">
          <a:extLst>
            <a:ext uri="{FF2B5EF4-FFF2-40B4-BE49-F238E27FC236}">
              <a16:creationId xmlns:a16="http://schemas.microsoft.com/office/drawing/2014/main" id="{318FAE9A-0EE1-7A1C-CF8B-4EEABE1B72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569594</xdr:colOff>
      <xdr:row>0</xdr:row>
      <xdr:rowOff>60007</xdr:rowOff>
    </xdr:from>
    <xdr:to>
      <xdr:col>12</xdr:col>
      <xdr:colOff>788669</xdr:colOff>
      <xdr:row>8</xdr:row>
      <xdr:rowOff>160020</xdr:rowOff>
    </xdr:to>
    <xdr:graphicFrame macro="">
      <xdr:nvGraphicFramePr>
        <xdr:cNvPr id="2" name="Graphique 1">
          <a:extLst>
            <a:ext uri="{FF2B5EF4-FFF2-40B4-BE49-F238E27FC236}">
              <a16:creationId xmlns:a16="http://schemas.microsoft.com/office/drawing/2014/main" id="{1DF71A65-EC83-BB7C-BD22-41080FDFE5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647699</xdr:colOff>
      <xdr:row>10</xdr:row>
      <xdr:rowOff>40957</xdr:rowOff>
    </xdr:from>
    <xdr:to>
      <xdr:col>13</xdr:col>
      <xdr:colOff>74294</xdr:colOff>
      <xdr:row>20</xdr:row>
      <xdr:rowOff>333375</xdr:rowOff>
    </xdr:to>
    <xdr:graphicFrame macro="">
      <xdr:nvGraphicFramePr>
        <xdr:cNvPr id="3" name="Graphique 2">
          <a:extLst>
            <a:ext uri="{FF2B5EF4-FFF2-40B4-BE49-F238E27FC236}">
              <a16:creationId xmlns:a16="http://schemas.microsoft.com/office/drawing/2014/main" id="{70F0513C-61B2-15E0-1674-5687A1808D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581025</xdr:colOff>
      <xdr:row>24</xdr:row>
      <xdr:rowOff>4761</xdr:rowOff>
    </xdr:from>
    <xdr:to>
      <xdr:col>14</xdr:col>
      <xdr:colOff>600075</xdr:colOff>
      <xdr:row>39</xdr:row>
      <xdr:rowOff>333374</xdr:rowOff>
    </xdr:to>
    <xdr:graphicFrame macro="">
      <xdr:nvGraphicFramePr>
        <xdr:cNvPr id="4" name="Graphique 3">
          <a:extLst>
            <a:ext uri="{FF2B5EF4-FFF2-40B4-BE49-F238E27FC236}">
              <a16:creationId xmlns:a16="http://schemas.microsoft.com/office/drawing/2014/main" id="{DF469E86-F0C2-560A-1560-9E464E7EE2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F2F42-83C2-4BEC-BD8D-1D35442ED35A}">
  <dimension ref="A1:K38"/>
  <sheetViews>
    <sheetView tabSelected="1" zoomScaleNormal="100" workbookViewId="0">
      <selection activeCell="U16" sqref="U16"/>
    </sheetView>
  </sheetViews>
  <sheetFormatPr baseColWidth="10" defaultRowHeight="14.4" x14ac:dyDescent="0.3"/>
  <cols>
    <col min="1" max="1" width="5" customWidth="1"/>
    <col min="2" max="2" width="51.6640625" customWidth="1"/>
    <col min="3" max="3" width="17.33203125" customWidth="1"/>
    <col min="4" max="4" width="20.44140625" customWidth="1"/>
    <col min="5" max="5" width="20.5546875" customWidth="1"/>
    <col min="7" max="7" width="15.5546875" customWidth="1"/>
    <col min="9" max="9" width="14.6640625" customWidth="1"/>
    <col min="10" max="10" width="22" hidden="1" customWidth="1"/>
    <col min="11" max="11" width="11.44140625" hidden="1" customWidth="1"/>
  </cols>
  <sheetData>
    <row r="1" spans="1:10" ht="15.6" x14ac:dyDescent="0.3">
      <c r="A1" s="65"/>
      <c r="B1" s="51" t="s">
        <v>90</v>
      </c>
      <c r="C1" s="51" t="s">
        <v>18</v>
      </c>
      <c r="D1" s="52" t="s">
        <v>106</v>
      </c>
    </row>
    <row r="2" spans="1:10" ht="21.75" customHeight="1" x14ac:dyDescent="0.3">
      <c r="A2" s="65"/>
      <c r="B2" s="21" t="s">
        <v>92</v>
      </c>
      <c r="C2" s="73"/>
      <c r="D2" s="74"/>
    </row>
    <row r="3" spans="1:10" ht="27" customHeight="1" x14ac:dyDescent="0.3">
      <c r="A3" s="65"/>
      <c r="B3" s="21" t="s">
        <v>111</v>
      </c>
      <c r="C3" s="73"/>
      <c r="D3" s="74"/>
    </row>
    <row r="4" spans="1:10" ht="21.75" customHeight="1" x14ac:dyDescent="0.3">
      <c r="A4" s="65"/>
      <c r="B4" s="21" t="s">
        <v>19</v>
      </c>
      <c r="C4" s="53" t="s">
        <v>20</v>
      </c>
      <c r="D4" s="67"/>
    </row>
    <row r="5" spans="1:10" ht="21.75" customHeight="1" x14ac:dyDescent="0.3">
      <c r="A5" s="66"/>
      <c r="B5" s="21" t="s">
        <v>91</v>
      </c>
      <c r="C5" s="53" t="s">
        <v>21</v>
      </c>
      <c r="D5" s="68"/>
    </row>
    <row r="6" spans="1:10" ht="21.75" customHeight="1" x14ac:dyDescent="0.3">
      <c r="A6" s="57"/>
      <c r="B6" s="58"/>
      <c r="C6" s="59"/>
      <c r="D6" s="60"/>
    </row>
    <row r="7" spans="1:10" ht="21.75" customHeight="1" x14ac:dyDescent="0.3">
      <c r="A7" s="76" t="s">
        <v>78</v>
      </c>
      <c r="B7" s="51" t="s">
        <v>95</v>
      </c>
      <c r="C7" s="51" t="s">
        <v>18</v>
      </c>
      <c r="D7" s="52" t="s">
        <v>106</v>
      </c>
    </row>
    <row r="8" spans="1:10" ht="21.75" customHeight="1" x14ac:dyDescent="0.3">
      <c r="A8" s="76"/>
      <c r="B8" s="21" t="s">
        <v>86</v>
      </c>
      <c r="C8" s="53" t="s">
        <v>27</v>
      </c>
      <c r="D8" s="69"/>
    </row>
    <row r="9" spans="1:10" ht="21.75" customHeight="1" x14ac:dyDescent="0.3">
      <c r="A9" s="76"/>
      <c r="B9" s="21" t="s">
        <v>87</v>
      </c>
      <c r="C9" s="53" t="s">
        <v>27</v>
      </c>
      <c r="D9" s="69"/>
    </row>
    <row r="10" spans="1:10" ht="21.75" customHeight="1" x14ac:dyDescent="0.3">
      <c r="A10" s="76"/>
      <c r="B10" s="21" t="s">
        <v>88</v>
      </c>
      <c r="C10" s="53" t="s">
        <v>8</v>
      </c>
      <c r="D10" s="70"/>
    </row>
    <row r="11" spans="1:10" ht="21.75" customHeight="1" x14ac:dyDescent="0.3">
      <c r="A11" s="76"/>
      <c r="B11" s="21" t="s">
        <v>89</v>
      </c>
      <c r="C11" s="53" t="s">
        <v>8</v>
      </c>
      <c r="D11" s="70"/>
    </row>
    <row r="12" spans="1:10" ht="21.75" customHeight="1" x14ac:dyDescent="0.3">
      <c r="A12" s="76"/>
      <c r="B12" s="21" t="s">
        <v>85</v>
      </c>
      <c r="C12" s="53" t="s">
        <v>84</v>
      </c>
      <c r="D12" s="69"/>
      <c r="J12">
        <v>2</v>
      </c>
    </row>
    <row r="13" spans="1:10" ht="46.2" customHeight="1" x14ac:dyDescent="0.3">
      <c r="A13" s="76"/>
      <c r="B13" s="21" t="s">
        <v>110</v>
      </c>
      <c r="C13" s="53" t="s">
        <v>22</v>
      </c>
      <c r="D13" s="69"/>
      <c r="J13">
        <v>3</v>
      </c>
    </row>
    <row r="14" spans="1:10" ht="33.75" customHeight="1" x14ac:dyDescent="0.3">
      <c r="A14" s="76"/>
      <c r="B14" s="21" t="s">
        <v>108</v>
      </c>
      <c r="C14" s="53" t="s">
        <v>81</v>
      </c>
      <c r="D14" s="69"/>
      <c r="J14">
        <v>4</v>
      </c>
    </row>
    <row r="15" spans="1:10" ht="21.75" customHeight="1" x14ac:dyDescent="0.3">
      <c r="A15" s="76"/>
      <c r="B15" s="21" t="s">
        <v>83</v>
      </c>
      <c r="C15" s="53" t="s">
        <v>41</v>
      </c>
      <c r="D15" s="69"/>
    </row>
    <row r="16" spans="1:10" ht="21.75" customHeight="1" x14ac:dyDescent="0.3">
      <c r="A16" s="76"/>
      <c r="B16" s="21" t="s">
        <v>82</v>
      </c>
      <c r="C16" s="53" t="s">
        <v>22</v>
      </c>
      <c r="D16" s="69"/>
    </row>
    <row r="17" spans="1:11" ht="30" customHeight="1" x14ac:dyDescent="0.3">
      <c r="A17" s="76"/>
      <c r="B17" s="2" t="s">
        <v>103</v>
      </c>
      <c r="C17" s="55" t="s">
        <v>49</v>
      </c>
      <c r="D17" s="3">
        <f>'Feuille de calculs'!I2</f>
        <v>0</v>
      </c>
      <c r="E17" s="4" t="s">
        <v>45</v>
      </c>
    </row>
    <row r="18" spans="1:11" ht="21.75" customHeight="1" x14ac:dyDescent="0.3">
      <c r="A18" s="76"/>
      <c r="B18" s="2" t="s">
        <v>104</v>
      </c>
      <c r="C18" s="54" t="s">
        <v>25</v>
      </c>
      <c r="D18" s="7">
        <f>'Feuille de calculs'!H2</f>
        <v>0</v>
      </c>
      <c r="E18" t="s">
        <v>45</v>
      </c>
    </row>
    <row r="19" spans="1:11" ht="21.75" customHeight="1" x14ac:dyDescent="0.3">
      <c r="A19" s="76"/>
      <c r="B19" s="2" t="s">
        <v>105</v>
      </c>
      <c r="C19" s="54" t="s">
        <v>48</v>
      </c>
      <c r="D19" s="61" t="str">
        <f>IFERROR(D17/D5*D4,"-")</f>
        <v>-</v>
      </c>
      <c r="E19" t="s">
        <v>45</v>
      </c>
    </row>
    <row r="20" spans="1:11" ht="32.25" customHeight="1" x14ac:dyDescent="0.3">
      <c r="A20" s="79" t="s">
        <v>93</v>
      </c>
      <c r="B20" s="79"/>
      <c r="C20" s="79"/>
      <c r="D20" s="79"/>
    </row>
    <row r="21" spans="1:11" ht="12" customHeight="1" x14ac:dyDescent="0.3">
      <c r="B21" s="50"/>
      <c r="C21" s="50"/>
      <c r="D21" s="50"/>
    </row>
    <row r="22" spans="1:11" ht="24.75" customHeight="1" x14ac:dyDescent="0.3">
      <c r="A22" s="75" t="s">
        <v>79</v>
      </c>
      <c r="B22" s="52" t="s">
        <v>96</v>
      </c>
      <c r="C22" s="51" t="s">
        <v>18</v>
      </c>
      <c r="D22" s="52" t="s">
        <v>106</v>
      </c>
    </row>
    <row r="23" spans="1:11" ht="18.75" customHeight="1" x14ac:dyDescent="0.3">
      <c r="A23" s="75"/>
      <c r="B23" s="21" t="s">
        <v>107</v>
      </c>
      <c r="C23" s="56" t="s">
        <v>37</v>
      </c>
      <c r="D23" s="71"/>
      <c r="E23" s="1"/>
    </row>
    <row r="24" spans="1:11" ht="18.75" customHeight="1" x14ac:dyDescent="0.3">
      <c r="A24" s="75"/>
      <c r="B24" s="21" t="s">
        <v>36</v>
      </c>
      <c r="C24" s="56" t="s">
        <v>102</v>
      </c>
      <c r="D24" s="72"/>
      <c r="E24" s="1"/>
      <c r="J24" t="s">
        <v>2</v>
      </c>
      <c r="K24" s="1">
        <v>0.3</v>
      </c>
    </row>
    <row r="25" spans="1:11" ht="18.75" customHeight="1" x14ac:dyDescent="0.3">
      <c r="A25" s="75"/>
      <c r="B25" s="21" t="s">
        <v>47</v>
      </c>
      <c r="C25" s="56" t="s">
        <v>38</v>
      </c>
      <c r="D25" s="72"/>
      <c r="E25" s="1"/>
      <c r="J25" t="s">
        <v>3</v>
      </c>
      <c r="K25" s="1">
        <v>0.7</v>
      </c>
    </row>
    <row r="26" spans="1:11" ht="18.75" customHeight="1" x14ac:dyDescent="0.3">
      <c r="A26" s="75"/>
      <c r="B26" s="21" t="s">
        <v>40</v>
      </c>
      <c r="C26" s="56" t="s">
        <v>41</v>
      </c>
      <c r="D26" s="72"/>
      <c r="E26" s="1"/>
      <c r="J26" t="s">
        <v>4</v>
      </c>
      <c r="K26" s="1">
        <v>1</v>
      </c>
    </row>
    <row r="27" spans="1:11" ht="18.75" customHeight="1" x14ac:dyDescent="0.3">
      <c r="A27" s="75"/>
      <c r="B27" s="5" t="s">
        <v>101</v>
      </c>
      <c r="C27" s="55" t="s">
        <v>49</v>
      </c>
      <c r="D27" s="62" t="str">
        <f>IFERROR('Feuille de calculs'!L2*'Feuille de calculs'!B2,"-")</f>
        <v>-</v>
      </c>
      <c r="E27" s="1" t="s">
        <v>77</v>
      </c>
      <c r="K27" s="1"/>
    </row>
    <row r="28" spans="1:11" ht="18.75" customHeight="1" x14ac:dyDescent="0.3">
      <c r="A28" s="75"/>
      <c r="B28" s="5" t="s">
        <v>100</v>
      </c>
      <c r="C28" s="54" t="s">
        <v>25</v>
      </c>
      <c r="D28" s="63" t="str">
        <f>IFERROR('Feuille de calculs'!L2,"-")</f>
        <v>-</v>
      </c>
      <c r="E28" t="s">
        <v>77</v>
      </c>
    </row>
    <row r="29" spans="1:11" ht="18.75" customHeight="1" x14ac:dyDescent="0.3">
      <c r="A29" s="75"/>
      <c r="B29" s="5" t="s">
        <v>99</v>
      </c>
      <c r="C29" s="54" t="s">
        <v>48</v>
      </c>
      <c r="D29" s="63" t="str">
        <f>IFERROR(D27/(D5*D4),"-")</f>
        <v>-</v>
      </c>
      <c r="E29" t="s">
        <v>77</v>
      </c>
    </row>
    <row r="30" spans="1:11" ht="55.2" customHeight="1" x14ac:dyDescent="0.3">
      <c r="A30" s="79" t="s">
        <v>94</v>
      </c>
      <c r="B30" s="79"/>
      <c r="C30" s="79"/>
      <c r="D30" s="79"/>
    </row>
    <row r="32" spans="1:11" ht="21" customHeight="1" x14ac:dyDescent="0.3">
      <c r="A32" s="78" t="s">
        <v>80</v>
      </c>
      <c r="B32" s="77" t="s">
        <v>46</v>
      </c>
      <c r="C32" s="77"/>
      <c r="D32" s="77"/>
    </row>
    <row r="33" spans="1:10" x14ac:dyDescent="0.3">
      <c r="A33" s="78"/>
      <c r="B33" s="5" t="s">
        <v>26</v>
      </c>
      <c r="C33" s="55" t="s">
        <v>49</v>
      </c>
      <c r="D33" s="23" t="str">
        <f>IFERROR(D17+D27,"-")</f>
        <v>-</v>
      </c>
      <c r="J33" t="s">
        <v>42</v>
      </c>
    </row>
    <row r="34" spans="1:10" x14ac:dyDescent="0.3">
      <c r="A34" s="78"/>
      <c r="B34" s="6" t="s">
        <v>98</v>
      </c>
      <c r="C34" s="54" t="s">
        <v>25</v>
      </c>
      <c r="D34" s="22" t="str">
        <f>IFERROR(D18+D28,"-")</f>
        <v>-</v>
      </c>
      <c r="J34" t="s">
        <v>112</v>
      </c>
    </row>
    <row r="35" spans="1:10" x14ac:dyDescent="0.3">
      <c r="A35" s="78"/>
      <c r="B35" s="5" t="s">
        <v>97</v>
      </c>
      <c r="C35" s="55" t="s">
        <v>48</v>
      </c>
      <c r="D35" s="23" t="str">
        <f>IFERROR(D33/('Feuille de calculs'!B2*'Feuille de calculs'!C2),"-")</f>
        <v>-</v>
      </c>
      <c r="J35" t="s">
        <v>53</v>
      </c>
    </row>
    <row r="36" spans="1:10" ht="25.2" customHeight="1" x14ac:dyDescent="0.3"/>
    <row r="38" spans="1:10" x14ac:dyDescent="0.3">
      <c r="A38" s="64" t="s">
        <v>109</v>
      </c>
    </row>
  </sheetData>
  <sheetProtection algorithmName="SHA-512" hashValue="YhB16eEkygoLAcZN36og7fvag27ptNnMiqzvyxH4hw7EzSKIlHfIOAwACdegNyok6TaRwGJyaJQNzxh/9DP2sQ==" saltValue="/br+g3F+bxbJjIASVlLzAA==" spinCount="100000" sheet="1" formatCells="0" formatColumns="0" formatRows="0" insertColumns="0" insertRows="0" insertHyperlinks="0" deleteColumns="0" deleteRows="0" sort="0" autoFilter="0" pivotTables="0"/>
  <protectedRanges>
    <protectedRange sqref="D23:D26" name="Plage2"/>
    <protectedRange sqref="D2:D6 D8:D16" name="Plage1"/>
  </protectedRanges>
  <mergeCells count="8">
    <mergeCell ref="C2:D2"/>
    <mergeCell ref="C3:D3"/>
    <mergeCell ref="A22:A29"/>
    <mergeCell ref="A7:A19"/>
    <mergeCell ref="B32:D32"/>
    <mergeCell ref="A32:A35"/>
    <mergeCell ref="A20:D20"/>
    <mergeCell ref="A30:D30"/>
  </mergeCells>
  <conditionalFormatting sqref="D33:D35">
    <cfRule type="cellIs" dxfId="1" priority="1" operator="lessThan">
      <formula>0</formula>
    </cfRule>
    <cfRule type="cellIs" dxfId="0" priority="2" operator="greaterThan">
      <formula>0</formula>
    </cfRule>
  </conditionalFormatting>
  <dataValidations count="5">
    <dataValidation type="list" allowBlank="1" showInputMessage="1" showErrorMessage="1" sqref="D13" xr:uid="{C1755519-6882-4647-A972-588AEFA9201E}">
      <formula1>$J$12:$J$18</formula1>
    </dataValidation>
    <dataValidation type="list" allowBlank="1" showInputMessage="1" showErrorMessage="1" sqref="D24" xr:uid="{BF84CFAE-6196-4924-B874-3937E0A4A60E}">
      <formula1>$J$24:$J$26</formula1>
    </dataValidation>
    <dataValidation type="list" allowBlank="1" showInputMessage="1" showErrorMessage="1" sqref="D23" xr:uid="{32BEC705-06F0-496D-BEFA-039A7F65DA23}">
      <formula1>$K$24:$K$26</formula1>
    </dataValidation>
    <dataValidation type="list" allowBlank="1" showInputMessage="1" showErrorMessage="1" sqref="D15 D26" xr:uid="{D850184A-FADA-4059-A729-2641027D794D}">
      <formula1>$J$33:$J$34</formula1>
    </dataValidation>
    <dataValidation type="list" allowBlank="1" showInputMessage="1" showErrorMessage="1" sqref="D14" xr:uid="{86F7817C-06B8-441F-ACA0-1915F0301F5F}">
      <formula1>$J$33:$J$35</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C56E8-F471-4282-AC1F-84E86009A1F9}">
  <dimension ref="A1:D18"/>
  <sheetViews>
    <sheetView workbookViewId="0">
      <selection activeCell="F29" sqref="F29"/>
    </sheetView>
  </sheetViews>
  <sheetFormatPr baseColWidth="10" defaultRowHeight="14.4" x14ac:dyDescent="0.3"/>
  <cols>
    <col min="1" max="1" width="24.6640625" customWidth="1"/>
    <col min="2" max="2" width="15.109375" style="20" customWidth="1"/>
    <col min="3" max="3" width="13.44140625" style="14" customWidth="1"/>
    <col min="4" max="4" width="12.44140625" style="14" customWidth="1"/>
  </cols>
  <sheetData>
    <row r="1" spans="1:4" x14ac:dyDescent="0.3">
      <c r="A1" s="80" t="s">
        <v>5</v>
      </c>
      <c r="B1" s="80"/>
      <c r="C1" s="80"/>
      <c r="D1" s="80"/>
    </row>
    <row r="2" spans="1:4" ht="15.6" x14ac:dyDescent="0.3">
      <c r="A2" s="10" t="s">
        <v>6</v>
      </c>
      <c r="B2" s="15" t="s">
        <v>12</v>
      </c>
      <c r="C2" s="11" t="s">
        <v>50</v>
      </c>
      <c r="D2" s="11" t="s">
        <v>7</v>
      </c>
    </row>
    <row r="3" spans="1:4" x14ac:dyDescent="0.3">
      <c r="A3" s="8" t="s">
        <v>0</v>
      </c>
      <c r="B3" s="16" t="s">
        <v>8</v>
      </c>
      <c r="C3" s="12">
        <v>2.6</v>
      </c>
      <c r="D3" s="12" t="s">
        <v>9</v>
      </c>
    </row>
    <row r="4" spans="1:4" x14ac:dyDescent="0.3">
      <c r="A4" s="8" t="s">
        <v>1</v>
      </c>
      <c r="B4" s="16" t="s">
        <v>8</v>
      </c>
      <c r="C4" s="12">
        <v>3.17</v>
      </c>
      <c r="D4" s="12" t="s">
        <v>9</v>
      </c>
    </row>
    <row r="5" spans="1:4" x14ac:dyDescent="0.3">
      <c r="A5" s="8" t="s">
        <v>13</v>
      </c>
      <c r="B5" s="16" t="s">
        <v>28</v>
      </c>
      <c r="C5" s="12">
        <v>14</v>
      </c>
      <c r="D5" s="12" t="s">
        <v>11</v>
      </c>
    </row>
    <row r="6" spans="1:4" x14ac:dyDescent="0.3">
      <c r="A6" s="8" t="s">
        <v>14</v>
      </c>
      <c r="B6" s="16" t="s">
        <v>28</v>
      </c>
      <c r="C6" s="12">
        <v>-25</v>
      </c>
      <c r="D6" s="12" t="s">
        <v>11</v>
      </c>
    </row>
    <row r="7" spans="1:4" x14ac:dyDescent="0.3">
      <c r="A7" s="8" t="s">
        <v>2</v>
      </c>
      <c r="B7" s="16" t="s">
        <v>10</v>
      </c>
      <c r="C7" s="12">
        <v>-283</v>
      </c>
      <c r="D7" s="12" t="s">
        <v>11</v>
      </c>
    </row>
    <row r="8" spans="1:4" ht="16.5" customHeight="1" x14ac:dyDescent="0.3">
      <c r="A8" s="8" t="s">
        <v>3</v>
      </c>
      <c r="B8" s="16" t="s">
        <v>10</v>
      </c>
      <c r="C8" s="12">
        <v>518</v>
      </c>
      <c r="D8" s="12" t="s">
        <v>11</v>
      </c>
    </row>
    <row r="9" spans="1:4" ht="16.5" customHeight="1" x14ac:dyDescent="0.3">
      <c r="A9" s="8" t="s">
        <v>4</v>
      </c>
      <c r="B9" s="16" t="s">
        <v>10</v>
      </c>
      <c r="C9" s="12">
        <v>-79</v>
      </c>
      <c r="D9" s="12" t="s">
        <v>11</v>
      </c>
    </row>
    <row r="10" spans="1:4" ht="16.5" customHeight="1" x14ac:dyDescent="0.3">
      <c r="A10" s="8" t="s">
        <v>29</v>
      </c>
      <c r="B10" s="16" t="s">
        <v>43</v>
      </c>
      <c r="C10" s="12">
        <v>2.1</v>
      </c>
      <c r="D10" s="12" t="s">
        <v>30</v>
      </c>
    </row>
    <row r="11" spans="1:4" ht="16.5" customHeight="1" x14ac:dyDescent="0.3">
      <c r="A11" s="8"/>
      <c r="B11" s="16" t="s">
        <v>53</v>
      </c>
      <c r="C11" s="12">
        <v>7</v>
      </c>
      <c r="D11" s="12" t="s">
        <v>30</v>
      </c>
    </row>
    <row r="12" spans="1:4" ht="16.5" customHeight="1" x14ac:dyDescent="0.3">
      <c r="A12" s="8"/>
      <c r="B12" s="16" t="s">
        <v>44</v>
      </c>
      <c r="C12" s="12">
        <v>10</v>
      </c>
      <c r="D12" s="12" t="s">
        <v>30</v>
      </c>
    </row>
    <row r="13" spans="1:4" ht="16.5" customHeight="1" x14ac:dyDescent="0.3">
      <c r="A13" s="8" t="s">
        <v>32</v>
      </c>
      <c r="B13" s="17">
        <v>0.3</v>
      </c>
      <c r="C13" s="12">
        <v>-217</v>
      </c>
      <c r="D13" s="13" t="s">
        <v>25</v>
      </c>
    </row>
    <row r="14" spans="1:4" x14ac:dyDescent="0.3">
      <c r="A14" s="9"/>
      <c r="B14" s="18">
        <v>0.7</v>
      </c>
      <c r="C14" s="12">
        <v>-507</v>
      </c>
      <c r="D14" s="13" t="s">
        <v>25</v>
      </c>
    </row>
    <row r="15" spans="1:4" x14ac:dyDescent="0.3">
      <c r="A15" s="9"/>
      <c r="B15" s="18">
        <v>1</v>
      </c>
      <c r="C15" s="12">
        <v>-724</v>
      </c>
      <c r="D15" s="13" t="s">
        <v>25</v>
      </c>
    </row>
    <row r="16" spans="1:4" x14ac:dyDescent="0.3">
      <c r="A16" s="9" t="s">
        <v>54</v>
      </c>
      <c r="B16" s="16" t="s">
        <v>55</v>
      </c>
      <c r="C16" s="12">
        <v>7</v>
      </c>
      <c r="D16" s="12" t="s">
        <v>48</v>
      </c>
    </row>
    <row r="17" spans="1:4" ht="28.8" x14ac:dyDescent="0.3">
      <c r="A17" s="8" t="s">
        <v>52</v>
      </c>
      <c r="B17" s="19"/>
      <c r="C17" s="12">
        <f>-562+-257</f>
        <v>-819</v>
      </c>
      <c r="D17" s="13" t="s">
        <v>25</v>
      </c>
    </row>
    <row r="18" spans="1:4" x14ac:dyDescent="0.3">
      <c r="A18" s="8"/>
      <c r="B18" s="19"/>
      <c r="C18" s="12"/>
      <c r="D18" s="13"/>
    </row>
  </sheetData>
  <mergeCells count="1">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058C-0AEB-42EB-94FB-A1CAACB3A71B}">
  <dimension ref="A1:N11"/>
  <sheetViews>
    <sheetView topLeftCell="A13" zoomScale="90" zoomScaleNormal="90" workbookViewId="0">
      <selection activeCell="F29" sqref="F29"/>
    </sheetView>
  </sheetViews>
  <sheetFormatPr baseColWidth="10" defaultRowHeight="14.4" x14ac:dyDescent="0.3"/>
  <cols>
    <col min="1" max="1" width="15.44140625" customWidth="1"/>
    <col min="2" max="2" width="15.33203125" customWidth="1"/>
    <col min="3" max="3" width="13.88671875" customWidth="1"/>
    <col min="4" max="4" width="8" customWidth="1"/>
    <col min="5" max="6" width="11.109375" customWidth="1"/>
    <col min="7" max="7" width="17" customWidth="1"/>
    <col min="8" max="8" width="20.5546875" customWidth="1"/>
    <col min="9" max="9" width="18.5546875" customWidth="1"/>
    <col min="10" max="10" width="16" customWidth="1"/>
    <col min="11" max="11" width="15.44140625" customWidth="1"/>
    <col min="12" max="12" width="19.44140625" customWidth="1"/>
    <col min="13" max="13" width="22.44140625" customWidth="1"/>
    <col min="14" max="14" width="15.44140625" customWidth="1"/>
  </cols>
  <sheetData>
    <row r="1" spans="1:14" ht="35.25" customHeight="1" thickBot="1" x14ac:dyDescent="0.35">
      <c r="A1" s="42" t="s">
        <v>15</v>
      </c>
      <c r="B1" s="43" t="s">
        <v>16</v>
      </c>
      <c r="C1" s="43" t="s">
        <v>23</v>
      </c>
      <c r="D1" s="40" t="s">
        <v>33</v>
      </c>
      <c r="E1" s="45" t="s">
        <v>0</v>
      </c>
      <c r="F1" s="46" t="s">
        <v>1</v>
      </c>
      <c r="G1" s="41" t="s">
        <v>24</v>
      </c>
      <c r="H1" s="38" t="s">
        <v>34</v>
      </c>
      <c r="I1" s="38" t="s">
        <v>35</v>
      </c>
      <c r="J1" s="38" t="s">
        <v>31</v>
      </c>
      <c r="K1" s="38" t="s">
        <v>36</v>
      </c>
      <c r="L1" s="38" t="s">
        <v>39</v>
      </c>
      <c r="M1" s="38" t="s">
        <v>17</v>
      </c>
      <c r="N1" s="39" t="s">
        <v>51</v>
      </c>
    </row>
    <row r="2" spans="1:14" ht="18" x14ac:dyDescent="0.35">
      <c r="A2" s="44">
        <f>'Saisie producteur'!D2</f>
        <v>0</v>
      </c>
      <c r="B2" s="44">
        <f>'Saisie producteur'!D4</f>
        <v>0</v>
      </c>
      <c r="C2" s="44">
        <f>'Saisie producteur'!D5</f>
        <v>0</v>
      </c>
      <c r="D2" s="24">
        <f>('Saisie producteur'!D8*'Facteurs d''émissions'!C5)+('Facteurs d''émissions'!C6*'Saisie producteur'!D9)</f>
        <v>0</v>
      </c>
      <c r="E2" s="24">
        <f>'Saisie producteur'!D10*'Facteurs d''émissions'!$C$3</f>
        <v>0</v>
      </c>
      <c r="F2" s="24">
        <f>'Saisie producteur'!D11*'Facteurs d''émissions'!$C$4</f>
        <v>0</v>
      </c>
      <c r="G2" s="24">
        <f>IF('Saisie producteur'!D14="oui",'Facteurs d''émissions'!C10*'Saisie producteur'!D12*'Saisie producteur'!D13,(IF('Saisie producteur'!D14="non",'Facteurs d''émissions'!C12*'Saisie producteur'!D12*'Saisie producteur'!D13,'Saisie producteur'!D12*'Saisie producteur'!D13*'Facteurs d''émissions'!C11)))+IF('Saisie producteur'!D15="oui",'Saisie producteur'!D16*'Facteurs d''émissions'!C16,0)</f>
        <v>0</v>
      </c>
      <c r="H2" s="24">
        <f>SUM(D2+E2+G2+F2)</f>
        <v>0</v>
      </c>
      <c r="I2" s="24">
        <f>H2*B2</f>
        <v>0</v>
      </c>
      <c r="J2" s="24" t="str">
        <f>IF('Saisie producteur'!D23=0.3,'Facteurs d''émissions'!C13,IF('Saisie producteur'!D23=0.7,'Facteurs d''émissions'!C14,IF('Saisie producteur'!D23=1,'Facteurs d''émissions'!C15,"")))</f>
        <v/>
      </c>
      <c r="K2" s="24" t="b">
        <f>IF('Saisie producteur'!D24="BRF",'Facteurs d''émissions'!C7*'Saisie producteur'!D25,IF('Saisie producteur'!D24="Compost",'Facteurs d''émissions'!C8*'Saisie producteur'!D25,IF('Saisie producteur'!D24="Fumier",'Facteurs d''émissions'!C9*'Saisie producteur'!D25)))</f>
        <v>0</v>
      </c>
      <c r="L2" s="24" t="e">
        <f>J2+K2+N2</f>
        <v>#VALUE!</v>
      </c>
      <c r="M2" s="24" t="e">
        <f>L2/B2</f>
        <v>#VALUE!</v>
      </c>
      <c r="N2" s="24">
        <f>(IF('Saisie producteur'!D26="oui",'Facteurs d''émissions'!C17,0))</f>
        <v>0</v>
      </c>
    </row>
    <row r="5" spans="1:14" x14ac:dyDescent="0.3">
      <c r="A5" s="47" t="s">
        <v>6</v>
      </c>
      <c r="D5" t="s">
        <v>76</v>
      </c>
      <c r="E5" t="s">
        <v>75</v>
      </c>
    </row>
    <row r="6" spans="1:14" x14ac:dyDescent="0.3">
      <c r="A6" s="47" t="s">
        <v>71</v>
      </c>
      <c r="B6" s="47">
        <f>E2+F2</f>
        <v>0</v>
      </c>
      <c r="C6" s="49" t="e" cm="1">
        <f t="array" ref="C6">B6/SUMPRODUCT(ABS($B$6:$B$11))</f>
        <v>#VALUE!</v>
      </c>
      <c r="D6" s="48" t="e">
        <f>IF(C6&gt;0,C6,NA())</f>
        <v>#VALUE!</v>
      </c>
      <c r="E6" s="1" t="e">
        <f>IF(C6&lt;0,C6,NA())</f>
        <v>#VALUE!</v>
      </c>
    </row>
    <row r="7" spans="1:14" x14ac:dyDescent="0.3">
      <c r="A7" s="47" t="s">
        <v>72</v>
      </c>
      <c r="B7" s="47">
        <f>G2</f>
        <v>0</v>
      </c>
      <c r="C7" s="49" t="e" cm="1">
        <f t="array" ref="C7">B7/SUMPRODUCT(ABS($B$6:$B$11))</f>
        <v>#VALUE!</v>
      </c>
      <c r="D7" s="48" t="e">
        <f t="shared" ref="D7:D11" si="0">IF(C7&gt;0,C7,NA())</f>
        <v>#VALUE!</v>
      </c>
      <c r="E7" s="1" t="e">
        <f t="shared" ref="E7:E11" si="1">IF(C7&lt;0,C7,NA())</f>
        <v>#VALUE!</v>
      </c>
    </row>
    <row r="8" spans="1:14" x14ac:dyDescent="0.3">
      <c r="A8" s="47" t="s">
        <v>73</v>
      </c>
      <c r="B8" s="47">
        <f>D2</f>
        <v>0</v>
      </c>
      <c r="C8" s="49" t="e" cm="1">
        <f t="array" ref="C8">B8/SUMPRODUCT(ABS($B$6:$B$11))</f>
        <v>#VALUE!</v>
      </c>
      <c r="D8" s="48" t="e">
        <f t="shared" si="0"/>
        <v>#VALUE!</v>
      </c>
      <c r="E8" s="1" t="e">
        <f t="shared" si="1"/>
        <v>#VALUE!</v>
      </c>
    </row>
    <row r="9" spans="1:14" x14ac:dyDescent="0.3">
      <c r="A9" s="47" t="s">
        <v>32</v>
      </c>
      <c r="B9" s="47" t="str">
        <f>J2</f>
        <v/>
      </c>
      <c r="C9" s="49" t="e" cm="1">
        <f t="array" ref="C9">B9/SUMPRODUCT(ABS($B$6:$B$11))</f>
        <v>#VALUE!</v>
      </c>
      <c r="D9" s="48" t="e">
        <f t="shared" si="0"/>
        <v>#VALUE!</v>
      </c>
      <c r="E9" s="1" t="e">
        <f t="shared" si="1"/>
        <v>#VALUE!</v>
      </c>
    </row>
    <row r="10" spans="1:14" x14ac:dyDescent="0.3">
      <c r="A10" s="47" t="s">
        <v>36</v>
      </c>
      <c r="B10" s="47" t="b">
        <f>K2</f>
        <v>0</v>
      </c>
      <c r="C10" s="49" t="e" cm="1">
        <f t="array" ref="C10">B10/SUMPRODUCT(ABS($B$6:$B$11))</f>
        <v>#VALUE!</v>
      </c>
      <c r="D10" s="48" t="e">
        <f t="shared" si="0"/>
        <v>#VALUE!</v>
      </c>
      <c r="E10" s="1" t="e">
        <f t="shared" si="1"/>
        <v>#VALUE!</v>
      </c>
    </row>
    <row r="11" spans="1:14" x14ac:dyDescent="0.3">
      <c r="A11" s="47" t="s">
        <v>74</v>
      </c>
      <c r="B11" s="47">
        <f>N2</f>
        <v>0</v>
      </c>
      <c r="C11" s="49" t="e" cm="1">
        <f t="array" ref="C11">B11/SUMPRODUCT(ABS($B$6:$B$11))</f>
        <v>#VALUE!</v>
      </c>
      <c r="D11" s="48" t="e">
        <f t="shared" si="0"/>
        <v>#VALUE!</v>
      </c>
      <c r="E11" s="1" t="e">
        <f t="shared" si="1"/>
        <v>#VALUE!</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D608-BB1D-4726-9F9F-CF0793F51ACD}">
  <dimension ref="A1:E40"/>
  <sheetViews>
    <sheetView workbookViewId="0">
      <selection activeCell="F29" sqref="F29"/>
    </sheetView>
  </sheetViews>
  <sheetFormatPr baseColWidth="10" defaultRowHeight="14.4" x14ac:dyDescent="0.3"/>
  <cols>
    <col min="1" max="1" width="20.88671875" customWidth="1"/>
    <col min="5" max="5" width="13.5546875" bestFit="1" customWidth="1"/>
  </cols>
  <sheetData>
    <row r="1" spans="1:5" ht="31.2" x14ac:dyDescent="0.3">
      <c r="A1" s="25" t="s">
        <v>6</v>
      </c>
      <c r="B1" s="26" t="s">
        <v>12</v>
      </c>
      <c r="C1" s="27" t="s">
        <v>50</v>
      </c>
      <c r="D1" s="27" t="s">
        <v>7</v>
      </c>
      <c r="E1" s="27" t="s">
        <v>56</v>
      </c>
    </row>
    <row r="2" spans="1:5" x14ac:dyDescent="0.3">
      <c r="A2" s="28" t="s">
        <v>0</v>
      </c>
      <c r="B2" s="29" t="s">
        <v>8</v>
      </c>
      <c r="C2" s="30">
        <v>2.6</v>
      </c>
      <c r="D2" s="30" t="s">
        <v>9</v>
      </c>
      <c r="E2" s="33">
        <f>(C2/C9)</f>
        <v>5.6681927185524304E-2</v>
      </c>
    </row>
    <row r="3" spans="1:5" x14ac:dyDescent="0.3">
      <c r="A3" s="28" t="s">
        <v>1</v>
      </c>
      <c r="B3" s="29" t="s">
        <v>8</v>
      </c>
      <c r="C3" s="30">
        <v>3.17</v>
      </c>
      <c r="D3" s="30" t="s">
        <v>9</v>
      </c>
      <c r="E3" s="33">
        <f>(C3/C9)</f>
        <v>6.910834968388925E-2</v>
      </c>
    </row>
    <row r="4" spans="1:5" x14ac:dyDescent="0.3">
      <c r="A4" s="28" t="s">
        <v>13</v>
      </c>
      <c r="B4" s="29" t="s">
        <v>28</v>
      </c>
      <c r="C4" s="30">
        <v>14</v>
      </c>
      <c r="D4" s="30" t="s">
        <v>11</v>
      </c>
      <c r="E4" s="33">
        <f>(C4/C9)</f>
        <v>0.30521037715282318</v>
      </c>
    </row>
    <row r="5" spans="1:5" ht="28.8" x14ac:dyDescent="0.3">
      <c r="A5" s="28" t="s">
        <v>58</v>
      </c>
      <c r="B5" s="29" t="s">
        <v>43</v>
      </c>
      <c r="C5" s="30">
        <v>2.1</v>
      </c>
      <c r="D5" s="30" t="s">
        <v>30</v>
      </c>
      <c r="E5" s="33">
        <f>(C5/C9)</f>
        <v>4.5781556572923474E-2</v>
      </c>
    </row>
    <row r="6" spans="1:5" ht="28.8" x14ac:dyDescent="0.3">
      <c r="A6" s="28" t="s">
        <v>59</v>
      </c>
      <c r="B6" s="29" t="s">
        <v>53</v>
      </c>
      <c r="C6" s="30">
        <v>7</v>
      </c>
      <c r="D6" s="30" t="s">
        <v>30</v>
      </c>
      <c r="E6" s="33">
        <f>(C6/C9)</f>
        <v>0.15260518857641159</v>
      </c>
    </row>
    <row r="7" spans="1:5" ht="28.8" x14ac:dyDescent="0.3">
      <c r="A7" s="28" t="s">
        <v>60</v>
      </c>
      <c r="B7" s="29" t="s">
        <v>44</v>
      </c>
      <c r="C7" s="30">
        <v>10</v>
      </c>
      <c r="D7" s="30" t="s">
        <v>30</v>
      </c>
      <c r="E7" s="33">
        <f>(C7/C9)</f>
        <v>0.21800741225201656</v>
      </c>
    </row>
    <row r="8" spans="1:5" x14ac:dyDescent="0.3">
      <c r="A8" s="31" t="s">
        <v>54</v>
      </c>
      <c r="B8" s="29" t="s">
        <v>55</v>
      </c>
      <c r="C8" s="30">
        <v>7</v>
      </c>
      <c r="D8" s="30" t="s">
        <v>48</v>
      </c>
      <c r="E8" s="33">
        <f>(C8/C9)</f>
        <v>0.15260518857641159</v>
      </c>
    </row>
    <row r="9" spans="1:5" x14ac:dyDescent="0.3">
      <c r="A9" s="28" t="s">
        <v>57</v>
      </c>
      <c r="B9" s="32"/>
      <c r="C9" s="31">
        <f>SUM(C2:C8)</f>
        <v>45.870000000000005</v>
      </c>
      <c r="D9" s="32"/>
      <c r="E9" s="32"/>
    </row>
    <row r="14" spans="1:5" ht="31.2" x14ac:dyDescent="0.3">
      <c r="A14" s="10" t="s">
        <v>6</v>
      </c>
      <c r="B14" s="15" t="s">
        <v>12</v>
      </c>
      <c r="C14" s="11" t="s">
        <v>50</v>
      </c>
      <c r="D14" s="11" t="s">
        <v>7</v>
      </c>
      <c r="E14" s="27" t="s">
        <v>56</v>
      </c>
    </row>
    <row r="15" spans="1:5" x14ac:dyDescent="0.3">
      <c r="A15" s="8" t="s">
        <v>14</v>
      </c>
      <c r="B15" s="16" t="s">
        <v>28</v>
      </c>
      <c r="C15" s="12">
        <v>-25</v>
      </c>
      <c r="D15" s="12" t="s">
        <v>11</v>
      </c>
      <c r="E15" s="33">
        <f>-(C15/C22)</f>
        <v>-9.419743782969104E-3</v>
      </c>
    </row>
    <row r="16" spans="1:5" x14ac:dyDescent="0.3">
      <c r="A16" s="8" t="s">
        <v>2</v>
      </c>
      <c r="B16" s="16" t="s">
        <v>10</v>
      </c>
      <c r="C16" s="12">
        <v>-283</v>
      </c>
      <c r="D16" s="12" t="s">
        <v>11</v>
      </c>
      <c r="E16" s="33">
        <f>-(C16/C22)</f>
        <v>-0.10663149962321025</v>
      </c>
    </row>
    <row r="17" spans="1:5" x14ac:dyDescent="0.3">
      <c r="A17" s="8" t="s">
        <v>4</v>
      </c>
      <c r="B17" s="16" t="s">
        <v>10</v>
      </c>
      <c r="C17" s="12">
        <v>-79</v>
      </c>
      <c r="D17" s="12" t="s">
        <v>11</v>
      </c>
      <c r="E17" s="33">
        <f>-(C17/C22)</f>
        <v>-2.9766390354182368E-2</v>
      </c>
    </row>
    <row r="18" spans="1:5" x14ac:dyDescent="0.3">
      <c r="A18" s="8" t="s">
        <v>61</v>
      </c>
      <c r="B18" s="17">
        <v>0.3</v>
      </c>
      <c r="C18" s="12">
        <v>-217</v>
      </c>
      <c r="D18" s="13" t="s">
        <v>25</v>
      </c>
      <c r="E18" s="33">
        <f>-(C18/C22)</f>
        <v>-8.1763376036171814E-2</v>
      </c>
    </row>
    <row r="19" spans="1:5" x14ac:dyDescent="0.3">
      <c r="A19" s="8" t="s">
        <v>62</v>
      </c>
      <c r="B19" s="18">
        <v>0.7</v>
      </c>
      <c r="C19" s="12">
        <v>-507</v>
      </c>
      <c r="D19" s="13" t="s">
        <v>25</v>
      </c>
      <c r="E19" s="33">
        <f>-(C19/C22)</f>
        <v>-0.19103240391861342</v>
      </c>
    </row>
    <row r="20" spans="1:5" x14ac:dyDescent="0.3">
      <c r="A20" s="8" t="s">
        <v>63</v>
      </c>
      <c r="B20" s="18">
        <v>1</v>
      </c>
      <c r="C20" s="12">
        <v>-724</v>
      </c>
      <c r="D20" s="13" t="s">
        <v>25</v>
      </c>
      <c r="E20" s="33">
        <f>-(C20/C22)</f>
        <v>-0.27279577995478521</v>
      </c>
    </row>
    <row r="21" spans="1:5" ht="28.8" x14ac:dyDescent="0.3">
      <c r="A21" s="8" t="s">
        <v>52</v>
      </c>
      <c r="B21" s="19"/>
      <c r="C21" s="12">
        <f>-562+-257</f>
        <v>-819</v>
      </c>
      <c r="D21" s="13" t="s">
        <v>25</v>
      </c>
      <c r="E21" s="33">
        <f>-(C21/C22)</f>
        <v>-0.3085908063300678</v>
      </c>
    </row>
    <row r="22" spans="1:5" x14ac:dyDescent="0.3">
      <c r="A22" s="28" t="s">
        <v>57</v>
      </c>
      <c r="B22" s="32"/>
      <c r="C22" s="31">
        <f>SUM(C15:C21)</f>
        <v>-2654</v>
      </c>
      <c r="D22" s="32"/>
      <c r="E22" s="32"/>
    </row>
    <row r="26" spans="1:5" x14ac:dyDescent="0.3">
      <c r="A26" s="34" t="s">
        <v>6</v>
      </c>
      <c r="B26" s="35" t="s">
        <v>56</v>
      </c>
    </row>
    <row r="27" spans="1:5" x14ac:dyDescent="0.3">
      <c r="A27" s="36" t="s">
        <v>0</v>
      </c>
      <c r="B27" s="37">
        <v>0.06</v>
      </c>
    </row>
    <row r="28" spans="1:5" x14ac:dyDescent="0.3">
      <c r="A28" s="36" t="s">
        <v>1</v>
      </c>
      <c r="B28" s="37">
        <v>7.0000000000000007E-2</v>
      </c>
    </row>
    <row r="29" spans="1:5" x14ac:dyDescent="0.3">
      <c r="A29" s="36" t="s">
        <v>13</v>
      </c>
      <c r="B29" s="37">
        <v>0.31</v>
      </c>
    </row>
    <row r="30" spans="1:5" x14ac:dyDescent="0.3">
      <c r="A30" s="36" t="s">
        <v>64</v>
      </c>
      <c r="B30" s="37">
        <v>0.05</v>
      </c>
    </row>
    <row r="31" spans="1:5" x14ac:dyDescent="0.3">
      <c r="A31" s="36" t="s">
        <v>65</v>
      </c>
      <c r="B31" s="37">
        <v>0.15</v>
      </c>
    </row>
    <row r="32" spans="1:5" x14ac:dyDescent="0.3">
      <c r="A32" s="36" t="s">
        <v>66</v>
      </c>
      <c r="B32" s="37">
        <v>0.22</v>
      </c>
    </row>
    <row r="33" spans="1:2" x14ac:dyDescent="0.3">
      <c r="A33" s="36" t="s">
        <v>67</v>
      </c>
      <c r="B33" s="37">
        <v>0.15</v>
      </c>
    </row>
    <row r="34" spans="1:2" x14ac:dyDescent="0.3">
      <c r="A34" s="36" t="s">
        <v>14</v>
      </c>
      <c r="B34" s="37">
        <v>-0.01</v>
      </c>
    </row>
    <row r="35" spans="1:2" x14ac:dyDescent="0.3">
      <c r="A35" s="36" t="s">
        <v>2</v>
      </c>
      <c r="B35" s="37">
        <v>-0.11</v>
      </c>
    </row>
    <row r="36" spans="1:2" x14ac:dyDescent="0.3">
      <c r="A36" s="36" t="s">
        <v>4</v>
      </c>
      <c r="B36" s="37">
        <v>-0.03</v>
      </c>
    </row>
    <row r="37" spans="1:2" x14ac:dyDescent="0.3">
      <c r="A37" s="36" t="s">
        <v>68</v>
      </c>
      <c r="B37" s="37">
        <v>-0.08</v>
      </c>
    </row>
    <row r="38" spans="1:2" x14ac:dyDescent="0.3">
      <c r="A38" s="36" t="s">
        <v>69</v>
      </c>
      <c r="B38" s="37">
        <v>-0.19</v>
      </c>
    </row>
    <row r="39" spans="1:2" x14ac:dyDescent="0.3">
      <c r="A39" s="36" t="s">
        <v>70</v>
      </c>
      <c r="B39" s="37">
        <v>-0.27</v>
      </c>
    </row>
    <row r="40" spans="1:2" ht="28.8" x14ac:dyDescent="0.3">
      <c r="A40" s="36" t="s">
        <v>52</v>
      </c>
      <c r="B40" s="37">
        <v>-0.31</v>
      </c>
    </row>
  </sheetData>
  <sheetProtection algorithmName="SHA-512" hashValue="Hzgr5zT4F3uYIpdjDPJtDfZWEjrLgBUsis5wYb5VXJwzSQRB6e3ox3uIdh7Q60cl4vT7GOeJoYAuz/6HBnGynA==" saltValue="kO3wIro87+5lZlN4yIVpww==" spinCount="100000" sheet="1" formatCells="0" formatColumns="0" formatRows="0" insertColumns="0" insertRows="0" insertHyperlinks="0" deleteColumns="0" deleteRows="0" sort="0" autoFilter="0" pivotTables="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900788C-26BC-4BB8-8A9A-0F40C3232B0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Saisie producteur</vt:lpstr>
      <vt:lpstr>Facteurs d'émissions</vt:lpstr>
      <vt:lpstr>Feuille de calculs</vt:lpstr>
      <vt:lpstr>Graphiques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VIVIEN Clara</dc:creator>
  <cp:lastModifiedBy>POUVREAU Estelle</cp:lastModifiedBy>
  <cp:lastPrinted>2026-05-26T11:49:03Z</cp:lastPrinted>
  <dcterms:created xsi:type="dcterms:W3CDTF">2026-05-20T11:08:54Z</dcterms:created>
  <dcterms:modified xsi:type="dcterms:W3CDTF">2026-07-07T13:49:48Z</dcterms:modified>
</cp:coreProperties>
</file>